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ตารางคำนวณ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66" i="1"/>
  <c r="H65"/>
  <c r="T88" l="1"/>
  <c r="V88" s="1"/>
  <c r="X66"/>
  <c r="H46"/>
  <c r="H47"/>
  <c r="H56"/>
  <c r="J83"/>
  <c r="K83"/>
  <c r="I83"/>
  <c r="F83"/>
  <c r="E83"/>
  <c r="H8"/>
  <c r="L89"/>
  <c r="T89" s="1"/>
  <c r="H77"/>
  <c r="W49"/>
  <c r="X49"/>
  <c r="Y49"/>
  <c r="H23"/>
  <c r="W23" s="1"/>
  <c r="H21"/>
  <c r="H20"/>
  <c r="W20" s="1"/>
  <c r="X20" s="1"/>
  <c r="Y20" s="1"/>
  <c r="H19"/>
  <c r="W19" s="1"/>
  <c r="X19" s="1"/>
  <c r="Y19" s="1"/>
  <c r="H18"/>
  <c r="W18" s="1"/>
  <c r="X18" s="1"/>
  <c r="Y18" s="1"/>
  <c r="U71"/>
  <c r="Q71"/>
  <c r="G71"/>
  <c r="X70"/>
  <c r="W70"/>
  <c r="V70"/>
  <c r="Y70" s="1"/>
  <c r="Q70"/>
  <c r="X53"/>
  <c r="W53"/>
  <c r="V53"/>
  <c r="Y53" s="1"/>
  <c r="X52"/>
  <c r="W52"/>
  <c r="V52"/>
  <c r="Y52" s="1"/>
  <c r="X42"/>
  <c r="W42"/>
  <c r="V42"/>
  <c r="Y42" s="1"/>
  <c r="W41"/>
  <c r="H68"/>
  <c r="W10"/>
  <c r="X10" s="1"/>
  <c r="Y10" s="1"/>
  <c r="H11"/>
  <c r="W11" s="1"/>
  <c r="X11" s="1"/>
  <c r="Y11" s="1"/>
  <c r="H9"/>
  <c r="W9" s="1"/>
  <c r="X9" s="1"/>
  <c r="Y9" s="1"/>
  <c r="R8"/>
  <c r="W8"/>
  <c r="X8" s="1"/>
  <c r="Y8" s="1"/>
  <c r="V89" l="1"/>
  <c r="W66"/>
  <c r="L90"/>
  <c r="H51"/>
  <c r="H40"/>
  <c r="W40" s="1"/>
  <c r="H39"/>
  <c r="H14"/>
  <c r="W14" s="1"/>
  <c r="X14" s="1"/>
  <c r="Y14" s="1"/>
  <c r="H13"/>
  <c r="W13" s="1"/>
  <c r="X13" s="1"/>
  <c r="Y13" s="1"/>
  <c r="H12"/>
  <c r="W12" s="1"/>
  <c r="X12" s="1"/>
  <c r="Y12" s="1"/>
  <c r="G8"/>
  <c r="G9"/>
  <c r="G15"/>
  <c r="G12"/>
  <c r="G11"/>
  <c r="G77"/>
  <c r="G65"/>
  <c r="G52"/>
  <c r="G51"/>
  <c r="G46"/>
  <c r="G20"/>
  <c r="G19"/>
  <c r="G56"/>
  <c r="Q69"/>
  <c r="G69"/>
  <c r="G37"/>
  <c r="G23"/>
  <c r="G21"/>
  <c r="G53"/>
  <c r="G82"/>
  <c r="H82" s="1"/>
  <c r="G68"/>
  <c r="U68"/>
  <c r="S68"/>
  <c r="U51"/>
  <c r="S51"/>
  <c r="G42"/>
  <c r="V41"/>
  <c r="G41"/>
  <c r="G40"/>
  <c r="G39"/>
  <c r="G14"/>
  <c r="G13"/>
  <c r="G70"/>
  <c r="Y68"/>
  <c r="Q13"/>
  <c r="H37"/>
  <c r="X37" s="1"/>
  <c r="T90" l="1"/>
  <c r="V90" s="1"/>
  <c r="X77"/>
  <c r="W77"/>
  <c r="W68"/>
  <c r="Y77"/>
  <c r="X82"/>
  <c r="Y82"/>
  <c r="W82"/>
  <c r="X68"/>
  <c r="Y66"/>
  <c r="W21"/>
  <c r="X39"/>
  <c r="Y39"/>
  <c r="W39"/>
  <c r="X21"/>
  <c r="X23"/>
  <c r="W37"/>
  <c r="Y37"/>
  <c r="Y21"/>
  <c r="Y23"/>
  <c r="X65"/>
  <c r="Y65"/>
  <c r="W65"/>
  <c r="T83"/>
  <c r="Q8"/>
  <c r="Q53"/>
  <c r="Q52"/>
  <c r="O46"/>
  <c r="P46" s="1"/>
  <c r="P83" s="1"/>
  <c r="U69"/>
  <c r="Q51"/>
  <c r="W51" s="1"/>
  <c r="Q42"/>
  <c r="Q41"/>
  <c r="X41" s="1"/>
  <c r="Q11"/>
  <c r="Q9"/>
  <c r="Q14"/>
  <c r="Q12"/>
  <c r="V83" l="1"/>
  <c r="R83"/>
  <c r="H83"/>
  <c r="Y47"/>
  <c r="W47"/>
  <c r="X47"/>
  <c r="Y40"/>
  <c r="Y46"/>
  <c r="Y56"/>
  <c r="Y51"/>
  <c r="X56"/>
  <c r="Y41"/>
  <c r="G83"/>
  <c r="U83"/>
  <c r="S83"/>
  <c r="Q83"/>
  <c r="O83"/>
  <c r="W46"/>
  <c r="W56"/>
  <c r="X51"/>
  <c r="X46"/>
  <c r="X40"/>
  <c r="Y83" l="1"/>
  <c r="Y84" s="1"/>
  <c r="X83"/>
  <c r="W83"/>
  <c r="W84" l="1"/>
  <c r="W85" s="1"/>
  <c r="W86" s="1"/>
  <c r="X84"/>
  <c r="X85" s="1"/>
  <c r="X86" s="1"/>
  <c r="Y85"/>
  <c r="Y86" s="1"/>
</calcChain>
</file>

<file path=xl/comments1.xml><?xml version="1.0" encoding="utf-8"?>
<comments xmlns="http://schemas.openxmlformats.org/spreadsheetml/2006/main">
  <authors>
    <author>KKD Windows 7 V.3</author>
  </authors>
  <commentList>
    <comment ref="R8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=35760-34430=1330x12=15960</t>
        </r>
      </text>
    </comment>
    <comment ref="T8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=37130-35760=1370x12=16440</t>
        </r>
      </text>
    </comment>
    <comment ref="V8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38500-37130=1370x12=16440</t>
        </r>
      </text>
    </comment>
    <comment ref="R9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29110-28030=1080x12=12960</t>
        </r>
      </text>
    </comment>
    <comment ref="T9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=30220-29110=1110x12=13320</t>
        </r>
      </text>
    </comment>
    <comment ref="V9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31340-30220=1120x12=13440</t>
        </r>
      </text>
    </comment>
    <comment ref="R11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26460-25470=990x12=11880</t>
        </r>
      </text>
    </comment>
    <comment ref="T11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=27480-26460=1020x12=12240</t>
        </r>
      </text>
    </comment>
    <comment ref="V11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27480-28560=1080x12=12960</t>
        </r>
      </text>
    </comment>
    <comment ref="R12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24970-24010=960x12=11520</t>
        </r>
      </text>
    </comment>
    <comment ref="T12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25970-24970=1000x12=1200</t>
        </r>
      </text>
    </comment>
    <comment ref="V12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26980-25970=1010x12=12120</t>
        </r>
      </text>
    </comment>
    <comment ref="R13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20770-20120=650x12=7800</t>
        </r>
      </text>
    </comment>
    <comment ref="T13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21500-20770=730x12=8760</t>
        </r>
      </text>
    </comment>
    <comment ref="V13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22230-21500=730x12=8760</t>
        </r>
      </text>
    </comment>
    <comment ref="R14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22920-22040=880x12=10560</t>
        </r>
      </text>
    </comment>
    <comment ref="T14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23820-22920=900x12=10800</t>
        </r>
      </text>
    </comment>
    <comment ref="V14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24730-23820=910x12=10920</t>
        </r>
      </text>
    </comment>
    <comment ref="G15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5810+14180x6หาร2
8290+25020x6หาร 2</t>
        </r>
      </text>
    </comment>
    <comment ref="H15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ต่ำสุด 8750+สูงสุด 25020 หาร 2  คูณ 12= 202620</t>
        </r>
      </text>
    </comment>
    <comment ref="S15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ผลต่าง</t>
        </r>
      </text>
    </comment>
    <comment ref="C20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ประภาวดี</t>
        </r>
      </text>
    </comment>
    <comment ref="C21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พรทิพย์</t>
        </r>
      </text>
    </comment>
    <comment ref="R40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24010-23080=930x12=11160</t>
        </r>
      </text>
    </comment>
    <comment ref="T40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24970-24010=960x12=11520</t>
        </r>
      </text>
    </comment>
    <comment ref="V40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25970-24970=1000x12=12000</t>
        </r>
      </text>
    </comment>
    <comment ref="G41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5810+14180x6หาร2
8290+25020x6หาร 2</t>
        </r>
      </text>
    </comment>
    <comment ref="H41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(8750-25020) x12 หาร 2</t>
        </r>
      </text>
    </comment>
    <comment ref="S41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ผลต่าง</t>
        </r>
      </text>
    </comment>
    <comment ref="G42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5810+14180x6หาร2
8290+25020x6หาร 2</t>
        </r>
      </text>
    </comment>
    <comment ref="H42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(8750-25020) x12 หาร 2</t>
        </r>
      </text>
    </comment>
    <comment ref="S42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ผลต่าง</t>
        </r>
      </text>
    </comment>
    <comment ref="G43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5810+14180x6หาร2
8290+25020x6หาร 2</t>
        </r>
      </text>
    </comment>
    <comment ref="S43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ผลต่าง</t>
        </r>
      </text>
    </comment>
    <comment ref="R51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29110-28030=1080x12=12960</t>
        </r>
      </text>
    </comment>
    <comment ref="T51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30220-29110=1110x12=13320</t>
        </r>
      </text>
    </comment>
    <comment ref="V51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31340-30220=1120x12</t>
        </r>
      </text>
    </comment>
    <comment ref="G52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5810+14180x6หาร2
8290+25020x6หาร 2</t>
        </r>
      </text>
    </comment>
    <comment ref="H52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(8750-25020) x12 หาร 2</t>
        </r>
      </text>
    </comment>
    <comment ref="S52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ผลต่าง</t>
        </r>
      </text>
    </comment>
    <comment ref="G53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5810+14180x6หาร2
8290+25020x6หาร 2</t>
        </r>
      </text>
    </comment>
    <comment ref="C66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วันดี</t>
        </r>
      </text>
    </comment>
    <comment ref="G70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5810+14180x6หาร2
8290+25020x6หาร 2</t>
        </r>
      </text>
    </comment>
    <comment ref="C76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ครูติก</t>
        </r>
      </text>
    </comment>
  </commentList>
</comments>
</file>

<file path=xl/sharedStrings.xml><?xml version="1.0" encoding="utf-8"?>
<sst xmlns="http://schemas.openxmlformats.org/spreadsheetml/2006/main" count="504" uniqueCount="125">
  <si>
    <t>ชื่อสายงาน</t>
  </si>
  <si>
    <t>ระดับตำแหน่ง</t>
  </si>
  <si>
    <t>จำนวนทั้งหมด</t>
  </si>
  <si>
    <t>จำนวนที่มีอยู่ปัจจุบัน</t>
  </si>
  <si>
    <t>อัตราตำแหน่งที่คาดว่าจะต้องใช้ในช่วงระยะเวลา 3 ปีข้างหน้า</t>
  </si>
  <si>
    <t>อัตรากำลังคน</t>
  </si>
  <si>
    <t>เพิ่ม/ลด</t>
  </si>
  <si>
    <t xml:space="preserve">ภาระค่าใช้จ่าย                        </t>
  </si>
  <si>
    <t>ที่เพิ่มขึ้น (2)</t>
  </si>
  <si>
    <t>ค่าใช้จ่ายรวม (3)</t>
  </si>
  <si>
    <t>หมายเหตุ</t>
  </si>
  <si>
    <t>จำนวน</t>
  </si>
  <si>
    <t>(คน)</t>
  </si>
  <si>
    <t>-</t>
  </si>
  <si>
    <t>รวม</t>
  </si>
  <si>
    <t>ประมาณการประโยชน์ตอบแทนอื่น 20 %</t>
  </si>
  <si>
    <t>รวมเป็นค่าใช้จ่ายบุคคลทั้งสิ้น</t>
  </si>
  <si>
    <t>คิดร้อยละ 40 งบประมาณรายจ่ายประจำปี</t>
  </si>
  <si>
    <t xml:space="preserve"> </t>
  </si>
  <si>
    <t>เงินเดือน</t>
  </si>
  <si>
    <t xml:space="preserve">  1 ขั้น</t>
  </si>
  <si>
    <t>พนักงานจ้างภารกิจ</t>
  </si>
  <si>
    <t>ประเภทผู้มีคุณวุฒิ</t>
  </si>
  <si>
    <t>ประเภทผู้มีทักษะ</t>
  </si>
  <si>
    <t>พนักงานจ้างทั่วไป</t>
  </si>
  <si>
    <t>นักการภารโรง</t>
  </si>
  <si>
    <t>พนักงานจ้างตามภารกิจ</t>
  </si>
  <si>
    <t>กองช่าง</t>
  </si>
  <si>
    <t>(6140-5810)+(27350-26500)</t>
  </si>
  <si>
    <t>(5100-4870)+(22760-22050)</t>
  </si>
  <si>
    <t>11560+470+490*4%</t>
  </si>
  <si>
    <t>9000+3660*4%*12</t>
  </si>
  <si>
    <t>12660+510*4%</t>
  </si>
  <si>
    <t>12660+510+530*4%</t>
  </si>
  <si>
    <t>1080+15540+670+700*4%*12</t>
  </si>
  <si>
    <t>14010+560+590*4%=610</t>
  </si>
  <si>
    <t xml:space="preserve">  </t>
  </si>
  <si>
    <t>(4)</t>
  </si>
  <si>
    <t>(5)</t>
  </si>
  <si>
    <t>(6)</t>
  </si>
  <si>
    <t>(7)</t>
  </si>
  <si>
    <t>เงินเดือน(1)</t>
  </si>
  <si>
    <t>พนักงานขับรถยนต์</t>
  </si>
  <si>
    <t xml:space="preserve">นักวิชาการเงินและบัญชี </t>
  </si>
  <si>
    <t>พนักงานสูบน้ำ</t>
  </si>
  <si>
    <t>ปฏิบัติหน้าที่ผู้ดูแลเด็ก</t>
  </si>
  <si>
    <t>บาท</t>
  </si>
  <si>
    <t>17880-18480*12=</t>
  </si>
  <si>
    <t>15540*4%=630</t>
  </si>
  <si>
    <t>15540+630*4%*12</t>
  </si>
  <si>
    <t>15540*12</t>
  </si>
  <si>
    <t>11760*4%=470</t>
  </si>
  <si>
    <t>11760+470*4%=490</t>
  </si>
  <si>
    <t>11230*4%=450</t>
  </si>
  <si>
    <t>11230+450*4%=470</t>
  </si>
  <si>
    <t>13150*4%=530</t>
  </si>
  <si>
    <t>13150+530*4%=550</t>
  </si>
  <si>
    <t>9400*4%=380</t>
  </si>
  <si>
    <t>พนักงานส่วนท้องถิ่น</t>
  </si>
  <si>
    <t>คศ.1</t>
  </si>
  <si>
    <t>22490-23370=</t>
  </si>
  <si>
    <t>ที่</t>
  </si>
  <si>
    <t xml:space="preserve">        9.  ภาระค่าใช้จ่ายเกี่ยวกับเงินเดือนและประโยชน์ตอบแทนอื่น</t>
  </si>
  <si>
    <t xml:space="preserve">กองคลัง </t>
  </si>
  <si>
    <t xml:space="preserve">นักวิชาการศึกษา  </t>
  </si>
  <si>
    <t>ว่างเดิม</t>
  </si>
  <si>
    <t xml:space="preserve">นายช่างโยธา  </t>
  </si>
  <si>
    <t xml:space="preserve">เจ้าพนักงานพัสดุ   </t>
  </si>
  <si>
    <t xml:space="preserve">เจ้าพนักงานจัดเก็บรายได้  </t>
  </si>
  <si>
    <t xml:space="preserve">เจ้าพนักงานการเงินและบัญชี </t>
  </si>
  <si>
    <t>กลาง</t>
  </si>
  <si>
    <t>ต้น</t>
  </si>
  <si>
    <t>นักจัดการงานทั่วไป</t>
  </si>
  <si>
    <t>ปฏิบัติการ</t>
  </si>
  <si>
    <t>ชำนาญงาน</t>
  </si>
  <si>
    <t>ปฏิบัติงาน</t>
  </si>
  <si>
    <t>นายช่างเขียนแบบ</t>
  </si>
  <si>
    <t>เจ้าพนักงานศูนย์เยาวชน</t>
  </si>
  <si>
    <t>เจ้าพนักงานธุรการ</t>
  </si>
  <si>
    <t>กองการศึกษา</t>
  </si>
  <si>
    <t>1260*12</t>
  </si>
  <si>
    <t>610+610 คูณ12=21840</t>
  </si>
  <si>
    <t>500+500*12</t>
  </si>
  <si>
    <t>1010*12</t>
  </si>
  <si>
    <t>470+460*12</t>
  </si>
  <si>
    <t>960*12</t>
  </si>
  <si>
    <t>350+370*12</t>
  </si>
  <si>
    <t>740*12</t>
  </si>
  <si>
    <t>360+350*12</t>
  </si>
  <si>
    <t>390+420*12</t>
  </si>
  <si>
    <t>840*12</t>
  </si>
  <si>
    <t>500+550* 12</t>
  </si>
  <si>
    <t>360+380* 12</t>
  </si>
  <si>
    <t>720*12</t>
  </si>
  <si>
    <t>390+630*6/2+410+890*6/2</t>
  </si>
  <si>
    <t>ปลัดองค์การบริหารส่วนตำบล (นักบริหารงานท้องถิ่น)</t>
  </si>
  <si>
    <t xml:space="preserve">หัวหน้าสำนักปลัด  (นักบริหารงานทั่วไป  )  </t>
  </si>
  <si>
    <t>ผู้อำนวยการกองช่าง  (นักบริหารงานช่าง)</t>
  </si>
  <si>
    <t>รองปลัดองค์การบริหารส่วนตำบล(นักบริหารงานท้องถิ่น)</t>
  </si>
  <si>
    <t>สำนักปลัด</t>
  </si>
  <si>
    <t>ชำนาญการ</t>
  </si>
  <si>
    <t>ยุบเลิก</t>
  </si>
  <si>
    <t>ที่ใช้เงินอุดหนุน</t>
  </si>
  <si>
    <t xml:space="preserve">                งบประมาณการรายจ่ายประจำปี  2562</t>
  </si>
  <si>
    <t>หมายเหตุ    งบประมาณการรายจ่ายประจำปี  2560   ฐานคำนวณ ปี 61  (29,942,230 x 5%)</t>
  </si>
  <si>
    <t xml:space="preserve">  -</t>
  </si>
  <si>
    <t xml:space="preserve"> -</t>
  </si>
  <si>
    <t xml:space="preserve">                งบประมาณการรายจ่ายประจำปี  2561      </t>
  </si>
  <si>
    <t>ผู้ช่วยนักวิเคราะห์นโยบายและแผน</t>
  </si>
  <si>
    <t xml:space="preserve">ผู้ช่วยเจ้าพนักงานป้องกันและบรรเทาสาธารณภัย      </t>
  </si>
  <si>
    <t>ผู้ช่วยเจ้าพนักงานธุรการ</t>
  </si>
  <si>
    <t>ผู้ช่วยเจ้าพนักงานจัดเก็บรายได้</t>
  </si>
  <si>
    <t xml:space="preserve">ผู้ช่วยเจ้าพนักงานพัสดุ </t>
  </si>
  <si>
    <t>ผู้ช่วยนายช่างโยธา</t>
  </si>
  <si>
    <t>ผู้ช่วยนายช่างไฟฟ้า</t>
  </si>
  <si>
    <t>ผู้อำนวยการกองการศึกษา(นักบริหารงานการศึกษา)</t>
  </si>
  <si>
    <t>ครู</t>
  </si>
  <si>
    <t>ผู้ช่วยเจ้าพนักงานศูนย์เยาวชน</t>
  </si>
  <si>
    <t xml:space="preserve">นักพัฒนาชุมชน  </t>
  </si>
  <si>
    <t xml:space="preserve">เจ้าพนักงานธุรการ </t>
  </si>
  <si>
    <t xml:space="preserve">เจ้าพนักงานป้องกันและบรรเทาสาธณภัย </t>
  </si>
  <si>
    <t>ว่าง</t>
  </si>
  <si>
    <t>ผู้อำนวยการกองคลัง (นักบริหารงานการคลัง)</t>
  </si>
  <si>
    <t>ผู้ช่วยครูผู้ดูเด็กเล็ก</t>
  </si>
  <si>
    <t>ผู้ดูแลเด็ก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</si>
</sst>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#,##0_ ;\-#,##0\ "/>
  </numFmts>
  <fonts count="1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u/>
      <sz val="15"/>
      <name val="TH SarabunPSK"/>
      <family val="2"/>
    </font>
    <font>
      <b/>
      <u val="singleAccounting"/>
      <sz val="14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u/>
      <sz val="14"/>
      <name val="TH SarabunPSK"/>
      <family val="2"/>
    </font>
    <font>
      <b/>
      <sz val="10"/>
      <name val="TH SarabunPSK"/>
      <family val="2"/>
    </font>
    <font>
      <b/>
      <sz val="12"/>
      <name val="TH SarabunPSK"/>
      <family val="2"/>
    </font>
    <font>
      <b/>
      <sz val="9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9">
    <xf numFmtId="0" fontId="0" fillId="0" borderId="0" xfId="0"/>
    <xf numFmtId="187" fontId="4" fillId="0" borderId="15" xfId="1" applyNumberFormat="1" applyFont="1" applyBorder="1" applyAlignment="1">
      <alignment vertical="top" wrapText="1"/>
    </xf>
    <xf numFmtId="187" fontId="4" fillId="0" borderId="15" xfId="1" applyNumberFormat="1" applyFont="1" applyBorder="1" applyAlignment="1">
      <alignment horizontal="center" vertical="top" wrapText="1"/>
    </xf>
    <xf numFmtId="187" fontId="4" fillId="3" borderId="15" xfId="1" applyNumberFormat="1" applyFont="1" applyFill="1" applyBorder="1" applyAlignment="1">
      <alignment horizontal="center" vertical="top" wrapText="1"/>
    </xf>
    <xf numFmtId="187" fontId="4" fillId="0" borderId="20" xfId="1" applyNumberFormat="1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5" fillId="0" borderId="6" xfId="0" applyFont="1" applyBorder="1" applyAlignment="1">
      <alignment horizontal="center" vertical="top" wrapText="1"/>
    </xf>
    <xf numFmtId="0" fontId="5" fillId="2" borderId="6" xfId="0" applyFont="1" applyFill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5" fillId="2" borderId="7" xfId="0" applyFont="1" applyFill="1" applyBorder="1" applyAlignment="1">
      <alignment vertical="top" wrapText="1"/>
    </xf>
    <xf numFmtId="187" fontId="4" fillId="0" borderId="14" xfId="1" applyNumberFormat="1" applyFont="1" applyBorder="1" applyAlignment="1">
      <alignment vertical="top" wrapText="1"/>
    </xf>
    <xf numFmtId="187" fontId="4" fillId="0" borderId="14" xfId="1" applyNumberFormat="1" applyFont="1" applyBorder="1" applyAlignment="1">
      <alignment horizontal="right" vertical="top" wrapText="1"/>
    </xf>
    <xf numFmtId="187" fontId="4" fillId="2" borderId="14" xfId="1" applyNumberFormat="1" applyFont="1" applyFill="1" applyBorder="1" applyAlignment="1">
      <alignment horizontal="right" vertical="top" wrapText="1"/>
    </xf>
    <xf numFmtId="187" fontId="4" fillId="0" borderId="15" xfId="1" applyNumberFormat="1" applyFont="1" applyBorder="1" applyAlignment="1">
      <alignment horizontal="right" vertical="top" wrapText="1"/>
    </xf>
    <xf numFmtId="187" fontId="4" fillId="2" borderId="15" xfId="1" applyNumberFormat="1" applyFont="1" applyFill="1" applyBorder="1" applyAlignment="1">
      <alignment horizontal="right" vertical="top" wrapText="1"/>
    </xf>
    <xf numFmtId="0" fontId="6" fillId="0" borderId="15" xfId="0" applyFont="1" applyBorder="1" applyAlignment="1">
      <alignment horizontal="left" vertical="center" wrapText="1"/>
    </xf>
    <xf numFmtId="187" fontId="4" fillId="0" borderId="15" xfId="1" applyNumberFormat="1" applyFont="1" applyBorder="1" applyAlignment="1">
      <alignment horizontal="right"/>
    </xf>
    <xf numFmtId="187" fontId="4" fillId="2" borderId="15" xfId="1" applyNumberFormat="1" applyFont="1" applyFill="1" applyBorder="1" applyAlignment="1">
      <alignment horizontal="right"/>
    </xf>
    <xf numFmtId="187" fontId="4" fillId="0" borderId="24" xfId="1" applyNumberFormat="1" applyFont="1" applyBorder="1" applyAlignment="1">
      <alignment vertical="top" wrapText="1"/>
    </xf>
    <xf numFmtId="0" fontId="7" fillId="0" borderId="15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left" vertical="center"/>
    </xf>
    <xf numFmtId="14" fontId="4" fillId="0" borderId="15" xfId="0" applyNumberFormat="1" applyFont="1" applyBorder="1" applyAlignment="1">
      <alignment horizontal="center" vertical="top" wrapText="1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top" wrapText="1"/>
    </xf>
    <xf numFmtId="187" fontId="4" fillId="2" borderId="15" xfId="1" applyNumberFormat="1" applyFont="1" applyFill="1" applyBorder="1" applyAlignment="1">
      <alignment horizontal="center" vertical="top" wrapText="1"/>
    </xf>
    <xf numFmtId="187" fontId="4" fillId="2" borderId="20" xfId="1" applyNumberFormat="1" applyFont="1" applyFill="1" applyBorder="1" applyAlignment="1">
      <alignment vertical="top" wrapText="1"/>
    </xf>
    <xf numFmtId="187" fontId="4" fillId="0" borderId="20" xfId="1" applyNumberFormat="1" applyFont="1" applyBorder="1" applyAlignment="1">
      <alignment horizontal="center" vertical="top" wrapText="1"/>
    </xf>
    <xf numFmtId="187" fontId="4" fillId="2" borderId="20" xfId="1" applyNumberFormat="1" applyFont="1" applyFill="1" applyBorder="1" applyAlignment="1">
      <alignment horizontal="center" vertical="top" wrapText="1"/>
    </xf>
    <xf numFmtId="187" fontId="4" fillId="0" borderId="20" xfId="1" applyNumberFormat="1" applyFont="1" applyBorder="1" applyAlignment="1">
      <alignment horizontal="right" vertical="top" wrapText="1"/>
    </xf>
    <xf numFmtId="3" fontId="4" fillId="0" borderId="20" xfId="0" applyNumberFormat="1" applyFont="1" applyBorder="1" applyAlignment="1">
      <alignment horizontal="right" vertical="top" wrapText="1"/>
    </xf>
    <xf numFmtId="49" fontId="4" fillId="0" borderId="15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center" vertical="top" wrapText="1"/>
    </xf>
    <xf numFmtId="187" fontId="4" fillId="0" borderId="15" xfId="1" applyNumberFormat="1" applyFont="1" applyBorder="1" applyAlignment="1">
      <alignment horizontal="left" vertical="top" wrapText="1"/>
    </xf>
    <xf numFmtId="49" fontId="4" fillId="0" borderId="20" xfId="0" applyNumberFormat="1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top" wrapText="1"/>
    </xf>
    <xf numFmtId="0" fontId="4" fillId="0" borderId="20" xfId="0" applyFont="1" applyBorder="1" applyAlignment="1">
      <alignment vertical="top" wrapText="1"/>
    </xf>
    <xf numFmtId="3" fontId="4" fillId="0" borderId="20" xfId="0" applyNumberFormat="1" applyFont="1" applyBorder="1" applyAlignment="1">
      <alignment horizontal="center" vertical="top" wrapText="1"/>
    </xf>
    <xf numFmtId="0" fontId="4" fillId="0" borderId="0" xfId="0" applyFont="1"/>
    <xf numFmtId="0" fontId="5" fillId="0" borderId="0" xfId="0" applyFont="1" applyAlignment="1"/>
    <xf numFmtId="0" fontId="4" fillId="0" borderId="14" xfId="0" applyFont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187" fontId="4" fillId="0" borderId="14" xfId="1" applyNumberFormat="1" applyFont="1" applyBorder="1" applyAlignment="1">
      <alignment horizontal="center" vertical="top" wrapText="1"/>
    </xf>
    <xf numFmtId="187" fontId="4" fillId="2" borderId="14" xfId="1" applyNumberFormat="1" applyFont="1" applyFill="1" applyBorder="1" applyAlignment="1">
      <alignment horizontal="center" vertical="top" wrapText="1"/>
    </xf>
    <xf numFmtId="0" fontId="4" fillId="0" borderId="0" xfId="0" applyFont="1" applyAlignment="1"/>
    <xf numFmtId="187" fontId="4" fillId="2" borderId="15" xfId="1" applyNumberFormat="1" applyFont="1" applyFill="1" applyBorder="1" applyAlignment="1">
      <alignment vertical="top" wrapText="1"/>
    </xf>
    <xf numFmtId="187" fontId="7" fillId="0" borderId="15" xfId="1" applyNumberFormat="1" applyFont="1" applyBorder="1" applyAlignment="1">
      <alignment vertical="top" wrapText="1"/>
    </xf>
    <xf numFmtId="187" fontId="4" fillId="2" borderId="15" xfId="1" applyNumberFormat="1" applyFont="1" applyFill="1" applyBorder="1"/>
    <xf numFmtId="0" fontId="6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2" borderId="15" xfId="0" applyFont="1" applyFill="1" applyBorder="1" applyAlignment="1">
      <alignment vertical="top" wrapText="1"/>
    </xf>
    <xf numFmtId="3" fontId="4" fillId="0" borderId="15" xfId="0" applyNumberFormat="1" applyFont="1" applyBorder="1" applyAlignment="1">
      <alignment vertical="top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0" fontId="4" fillId="0" borderId="16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187" fontId="4" fillId="0" borderId="16" xfId="1" applyNumberFormat="1" applyFont="1" applyBorder="1" applyAlignment="1">
      <alignment vertical="top" wrapText="1"/>
    </xf>
    <xf numFmtId="187" fontId="4" fillId="0" borderId="16" xfId="1" applyNumberFormat="1" applyFont="1" applyBorder="1" applyAlignment="1">
      <alignment horizontal="center" vertical="top" wrapText="1"/>
    </xf>
    <xf numFmtId="187" fontId="4" fillId="0" borderId="16" xfId="1" applyNumberFormat="1" applyFont="1" applyBorder="1" applyAlignment="1">
      <alignment horizontal="right" vertical="top" wrapText="1"/>
    </xf>
    <xf numFmtId="187" fontId="4" fillId="2" borderId="16" xfId="1" applyNumberFormat="1" applyFont="1" applyFill="1" applyBorder="1" applyAlignment="1">
      <alignment horizontal="right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187" fontId="4" fillId="0" borderId="0" xfId="1" applyNumberFormat="1" applyFont="1" applyBorder="1" applyAlignment="1">
      <alignment vertical="top" wrapText="1"/>
    </xf>
    <xf numFmtId="187" fontId="4" fillId="0" borderId="0" xfId="1" applyNumberFormat="1" applyFont="1" applyBorder="1" applyAlignment="1">
      <alignment horizontal="center" vertical="top" wrapText="1"/>
    </xf>
    <xf numFmtId="187" fontId="4" fillId="2" borderId="0" xfId="1" applyNumberFormat="1" applyFont="1" applyFill="1" applyBorder="1" applyAlignment="1">
      <alignment horizontal="center" vertical="top" wrapText="1"/>
    </xf>
    <xf numFmtId="187" fontId="4" fillId="0" borderId="0" xfId="1" applyNumberFormat="1" applyFont="1" applyBorder="1" applyAlignment="1">
      <alignment horizontal="right" vertical="top" wrapText="1"/>
    </xf>
    <xf numFmtId="187" fontId="4" fillId="2" borderId="0" xfId="1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vertical="top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6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vertical="top" wrapText="1"/>
    </xf>
    <xf numFmtId="43" fontId="4" fillId="0" borderId="14" xfId="1" applyFont="1" applyBorder="1" applyAlignment="1">
      <alignment vertical="top" wrapText="1"/>
    </xf>
    <xf numFmtId="0" fontId="4" fillId="0" borderId="14" xfId="0" applyFont="1" applyBorder="1" applyAlignment="1">
      <alignment horizontal="left" vertical="top" wrapText="1"/>
    </xf>
    <xf numFmtId="0" fontId="4" fillId="2" borderId="14" xfId="0" applyFont="1" applyFill="1" applyBorder="1" applyAlignment="1">
      <alignment horizontal="right" vertical="top" wrapText="1"/>
    </xf>
    <xf numFmtId="0" fontId="4" fillId="0" borderId="14" xfId="0" applyFont="1" applyBorder="1" applyAlignment="1">
      <alignment horizontal="right" vertical="top" wrapText="1"/>
    </xf>
    <xf numFmtId="3" fontId="4" fillId="0" borderId="14" xfId="0" applyNumberFormat="1" applyFont="1" applyBorder="1" applyAlignment="1">
      <alignment horizontal="right" vertical="top" wrapText="1"/>
    </xf>
    <xf numFmtId="0" fontId="10" fillId="0" borderId="15" xfId="0" applyFont="1" applyBorder="1" applyAlignment="1">
      <alignment horizontal="left" vertical="center"/>
    </xf>
    <xf numFmtId="49" fontId="4" fillId="3" borderId="15" xfId="1" applyNumberFormat="1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center" vertical="top" wrapText="1"/>
    </xf>
    <xf numFmtId="187" fontId="4" fillId="3" borderId="15" xfId="1" applyNumberFormat="1" applyFont="1" applyFill="1" applyBorder="1" applyAlignment="1">
      <alignment vertical="top" wrapText="1"/>
    </xf>
    <xf numFmtId="187" fontId="4" fillId="3" borderId="15" xfId="1" applyNumberFormat="1" applyFont="1" applyFill="1" applyBorder="1" applyAlignment="1">
      <alignment horizontal="center"/>
    </xf>
    <xf numFmtId="0" fontId="4" fillId="3" borderId="0" xfId="0" applyFont="1" applyFill="1" applyBorder="1" applyAlignment="1"/>
    <xf numFmtId="0" fontId="4" fillId="0" borderId="0" xfId="0" applyFont="1" applyBorder="1" applyAlignment="1"/>
    <xf numFmtId="189" fontId="4" fillId="0" borderId="15" xfId="1" applyNumberFormat="1" applyFont="1" applyBorder="1" applyAlignment="1">
      <alignment vertical="top" wrapText="1"/>
    </xf>
    <xf numFmtId="187" fontId="4" fillId="0" borderId="23" xfId="1" applyNumberFormat="1" applyFont="1" applyBorder="1" applyAlignment="1">
      <alignment horizontal="center" vertical="top" wrapText="1"/>
    </xf>
    <xf numFmtId="187" fontId="4" fillId="2" borderId="16" xfId="1" applyNumberFormat="1" applyFont="1" applyFill="1" applyBorder="1" applyAlignment="1">
      <alignment horizontal="center" vertical="top" wrapText="1"/>
    </xf>
    <xf numFmtId="187" fontId="4" fillId="0" borderId="0" xfId="1" applyNumberFormat="1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187" fontId="4" fillId="0" borderId="9" xfId="1" applyNumberFormat="1" applyFont="1" applyBorder="1" applyAlignment="1">
      <alignment vertical="top" wrapText="1"/>
    </xf>
    <xf numFmtId="187" fontId="4" fillId="0" borderId="9" xfId="1" applyNumberFormat="1" applyFont="1" applyBorder="1" applyAlignment="1">
      <alignment horizontal="center" vertical="top" wrapText="1"/>
    </xf>
    <xf numFmtId="187" fontId="4" fillId="2" borderId="9" xfId="1" applyNumberFormat="1" applyFont="1" applyFill="1" applyBorder="1" applyAlignment="1">
      <alignment horizontal="center" vertical="top" wrapText="1"/>
    </xf>
    <xf numFmtId="3" fontId="4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0" fontId="4" fillId="0" borderId="17" xfId="0" applyFont="1" applyBorder="1" applyAlignment="1">
      <alignment vertical="top" wrapText="1"/>
    </xf>
    <xf numFmtId="0" fontId="4" fillId="0" borderId="17" xfId="0" applyFont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187" fontId="4" fillId="0" borderId="17" xfId="1" applyNumberFormat="1" applyFont="1" applyBorder="1" applyAlignment="1">
      <alignment vertical="top" wrapText="1"/>
    </xf>
    <xf numFmtId="187" fontId="4" fillId="0" borderId="17" xfId="1" applyNumberFormat="1" applyFont="1" applyBorder="1" applyAlignment="1">
      <alignment horizontal="center" vertical="top" wrapText="1"/>
    </xf>
    <xf numFmtId="187" fontId="4" fillId="2" borderId="17" xfId="1" applyNumberFormat="1" applyFont="1" applyFill="1" applyBorder="1" applyAlignment="1">
      <alignment horizontal="center" vertical="top" wrapText="1"/>
    </xf>
    <xf numFmtId="3" fontId="4" fillId="0" borderId="17" xfId="0" applyNumberFormat="1" applyFont="1" applyBorder="1" applyAlignment="1">
      <alignment vertical="top" wrapText="1"/>
    </xf>
    <xf numFmtId="3" fontId="4" fillId="0" borderId="20" xfId="0" applyNumberFormat="1" applyFont="1" applyBorder="1" applyAlignment="1">
      <alignment vertical="top" wrapText="1"/>
    </xf>
    <xf numFmtId="0" fontId="11" fillId="0" borderId="15" xfId="0" applyFont="1" applyBorder="1" applyAlignment="1">
      <alignment horizontal="center" vertical="top" wrapText="1"/>
    </xf>
    <xf numFmtId="187" fontId="4" fillId="0" borderId="20" xfId="0" applyNumberFormat="1" applyFont="1" applyBorder="1" applyAlignment="1">
      <alignment horizontal="center" vertical="top" wrapText="1"/>
    </xf>
    <xf numFmtId="49" fontId="4" fillId="3" borderId="20" xfId="1" applyNumberFormat="1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4" fillId="0" borderId="23" xfId="0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center" vertical="top" wrapText="1"/>
    </xf>
    <xf numFmtId="187" fontId="4" fillId="0" borderId="4" xfId="1" applyNumberFormat="1" applyFont="1" applyBorder="1" applyAlignment="1">
      <alignment horizontal="center" vertical="top" wrapText="1"/>
    </xf>
    <xf numFmtId="187" fontId="12" fillId="0" borderId="4" xfId="1" applyNumberFormat="1" applyFont="1" applyBorder="1" applyAlignment="1">
      <alignment horizontal="right" vertical="top" wrapText="1"/>
    </xf>
    <xf numFmtId="187" fontId="4" fillId="2" borderId="4" xfId="1" applyNumberFormat="1" applyFont="1" applyFill="1" applyBorder="1" applyAlignment="1">
      <alignment horizontal="right" vertical="top" wrapText="1"/>
    </xf>
    <xf numFmtId="187" fontId="4" fillId="0" borderId="4" xfId="1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justify" vertical="top" wrapText="1"/>
    </xf>
    <xf numFmtId="0" fontId="4" fillId="0" borderId="7" xfId="0" applyFont="1" applyBorder="1" applyAlignment="1">
      <alignment vertical="top" wrapText="1"/>
    </xf>
    <xf numFmtId="187" fontId="4" fillId="0" borderId="7" xfId="1" applyNumberFormat="1" applyFont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187" fontId="4" fillId="0" borderId="7" xfId="0" applyNumberFormat="1" applyFont="1" applyBorder="1" applyAlignment="1">
      <alignment horizontal="right" vertical="top" wrapText="1"/>
    </xf>
    <xf numFmtId="187" fontId="4" fillId="0" borderId="7" xfId="1" applyNumberFormat="1" applyFont="1" applyBorder="1" applyAlignment="1">
      <alignment horizontal="justify" vertical="top" wrapText="1"/>
    </xf>
    <xf numFmtId="188" fontId="4" fillId="0" borderId="7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2" borderId="0" xfId="0" applyFont="1" applyFill="1"/>
    <xf numFmtId="187" fontId="4" fillId="0" borderId="0" xfId="1" applyNumberFormat="1" applyFont="1"/>
    <xf numFmtId="43" fontId="4" fillId="3" borderId="0" xfId="0" applyNumberFormat="1" applyFont="1" applyFill="1"/>
    <xf numFmtId="0" fontId="4" fillId="0" borderId="0" xfId="0" applyFont="1" applyAlignment="1">
      <alignment horizontal="left"/>
    </xf>
    <xf numFmtId="187" fontId="4" fillId="0" borderId="14" xfId="1" applyNumberFormat="1" applyFont="1" applyBorder="1" applyAlignment="1">
      <alignment horizontal="center" wrapText="1"/>
    </xf>
    <xf numFmtId="187" fontId="4" fillId="0" borderId="15" xfId="1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justify" vertical="top" wrapText="1"/>
    </xf>
    <xf numFmtId="0" fontId="4" fillId="2" borderId="0" xfId="0" applyFont="1" applyFill="1" applyBorder="1" applyAlignment="1">
      <alignment horizontal="justify" vertical="top" wrapText="1"/>
    </xf>
    <xf numFmtId="187" fontId="4" fillId="0" borderId="0" xfId="1" applyNumberFormat="1" applyFont="1" applyBorder="1" applyAlignment="1">
      <alignment horizontal="justify" vertical="top" wrapText="1"/>
    </xf>
    <xf numFmtId="188" fontId="4" fillId="0" borderId="0" xfId="0" applyNumberFormat="1" applyFont="1" applyBorder="1" applyAlignment="1">
      <alignment horizontal="center" vertical="top" wrapText="1"/>
    </xf>
    <xf numFmtId="0" fontId="4" fillId="0" borderId="15" xfId="0" applyFont="1" applyBorder="1" applyAlignment="1">
      <alignment vertical="center"/>
    </xf>
    <xf numFmtId="187" fontId="13" fillId="3" borderId="0" xfId="0" applyNumberFormat="1" applyFont="1" applyFill="1"/>
    <xf numFmtId="0" fontId="13" fillId="2" borderId="0" xfId="0" applyFont="1" applyFill="1"/>
    <xf numFmtId="187" fontId="13" fillId="0" borderId="0" xfId="0" applyNumberFormat="1" applyFont="1"/>
    <xf numFmtId="43" fontId="13" fillId="0" borderId="0" xfId="0" applyNumberFormat="1" applyFont="1"/>
    <xf numFmtId="43" fontId="13" fillId="3" borderId="0" xfId="1" applyFont="1" applyFill="1"/>
    <xf numFmtId="187" fontId="4" fillId="0" borderId="4" xfId="0" applyNumberFormat="1" applyFont="1" applyBorder="1" applyAlignment="1">
      <alignment vertical="top" wrapText="1"/>
    </xf>
    <xf numFmtId="187" fontId="4" fillId="0" borderId="16" xfId="1" applyNumberFormat="1" applyFont="1" applyBorder="1" applyAlignment="1">
      <alignment horizontal="left" vertical="top" wrapText="1"/>
    </xf>
    <xf numFmtId="0" fontId="8" fillId="0" borderId="9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12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0" borderId="0" xfId="0" applyFont="1" applyAlignment="1"/>
    <xf numFmtId="187" fontId="4" fillId="0" borderId="0" xfId="1" applyNumberFormat="1" applyFont="1" applyAlignment="1">
      <alignment horizontal="right"/>
    </xf>
    <xf numFmtId="187" fontId="4" fillId="2" borderId="15" xfId="1" applyNumberFormat="1" applyFont="1" applyFill="1" applyBorder="1" applyAlignment="1">
      <alignment horizontal="center"/>
    </xf>
    <xf numFmtId="187" fontId="4" fillId="2" borderId="15" xfId="1" applyNumberFormat="1" applyFont="1" applyFill="1" applyBorder="1" applyAlignment="1">
      <alignment horizontal="center" vertical="top" wrapText="1"/>
    </xf>
    <xf numFmtId="187" fontId="4" fillId="0" borderId="15" xfId="1" applyNumberFormat="1" applyFont="1" applyBorder="1" applyAlignment="1">
      <alignment horizontal="center" vertical="top" wrapText="1"/>
    </xf>
    <xf numFmtId="187" fontId="4" fillId="2" borderId="21" xfId="1" applyNumberFormat="1" applyFont="1" applyFill="1" applyBorder="1" applyAlignment="1">
      <alignment horizontal="center" vertical="top" wrapText="1"/>
    </xf>
    <xf numFmtId="187" fontId="4" fillId="2" borderId="22" xfId="1" applyNumberFormat="1" applyFont="1" applyFill="1" applyBorder="1" applyAlignment="1">
      <alignment horizontal="center" vertical="top" wrapText="1"/>
    </xf>
    <xf numFmtId="187" fontId="4" fillId="2" borderId="20" xfId="1" applyNumberFormat="1" applyFont="1" applyFill="1" applyBorder="1" applyAlignment="1">
      <alignment horizontal="center" vertical="top" wrapText="1"/>
    </xf>
    <xf numFmtId="187" fontId="4" fillId="2" borderId="16" xfId="1" applyNumberFormat="1" applyFont="1" applyFill="1" applyBorder="1" applyAlignment="1">
      <alignment horizontal="center" vertical="top" wrapText="1"/>
    </xf>
    <xf numFmtId="187" fontId="4" fillId="2" borderId="18" xfId="1" applyNumberFormat="1" applyFont="1" applyFill="1" applyBorder="1" applyAlignment="1">
      <alignment horizontal="center" vertical="top" wrapText="1"/>
    </xf>
    <xf numFmtId="187" fontId="4" fillId="2" borderId="19" xfId="1" applyNumberFormat="1" applyFont="1" applyFill="1" applyBorder="1" applyAlignment="1">
      <alignment horizontal="center" vertical="top" wrapText="1"/>
    </xf>
    <xf numFmtId="187" fontId="4" fillId="2" borderId="17" xfId="1" applyNumberFormat="1" applyFont="1" applyFill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Z97"/>
  <sheetViews>
    <sheetView tabSelected="1" topLeftCell="A112" zoomScale="86" zoomScaleNormal="86" workbookViewId="0">
      <selection activeCell="A59" sqref="A59:Z87"/>
    </sheetView>
  </sheetViews>
  <sheetFormatPr defaultRowHeight="18.75"/>
  <cols>
    <col min="1" max="1" width="1.75" style="46" customWidth="1"/>
    <col min="2" max="2" width="5.125" style="147" customWidth="1"/>
    <col min="3" max="3" width="36.75" style="151" customWidth="1"/>
    <col min="4" max="4" width="8" style="46" customWidth="1"/>
    <col min="5" max="5" width="6.375" style="147" customWidth="1"/>
    <col min="6" max="6" width="6.375" style="46" customWidth="1"/>
    <col min="7" max="7" width="9" style="148" hidden="1" customWidth="1"/>
    <col min="8" max="8" width="9.875" style="52" customWidth="1"/>
    <col min="9" max="9" width="5" style="52" customWidth="1"/>
    <col min="10" max="10" width="5.125" style="52" customWidth="1"/>
    <col min="11" max="11" width="5.375" style="52" customWidth="1"/>
    <col min="12" max="12" width="5.375" style="46" customWidth="1"/>
    <col min="13" max="14" width="5.75" style="46" customWidth="1"/>
    <col min="15" max="15" width="8.625" style="148" hidden="1" customWidth="1"/>
    <col min="16" max="16" width="9.125" style="148" hidden="1" customWidth="1"/>
    <col min="17" max="17" width="7.75" style="148" hidden="1" customWidth="1"/>
    <col min="18" max="18" width="8" style="149" customWidth="1"/>
    <col min="19" max="19" width="8" style="148" hidden="1" customWidth="1"/>
    <col min="20" max="20" width="7.875" style="46" customWidth="1"/>
    <col min="21" max="21" width="8" style="148" hidden="1" customWidth="1"/>
    <col min="22" max="22" width="7.875" style="46" customWidth="1"/>
    <col min="23" max="23" width="9" style="46" customWidth="1"/>
    <col min="24" max="25" width="10" style="46" customWidth="1"/>
    <col min="26" max="26" width="9.25" style="147" customWidth="1"/>
    <col min="27" max="16384" width="9" style="46"/>
  </cols>
  <sheetData>
    <row r="1" spans="2:26" ht="38.25" customHeight="1" thickBot="1">
      <c r="B1" s="170" t="s">
        <v>62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</row>
    <row r="2" spans="2:26" ht="27" hidden="1" customHeight="1" thickBot="1">
      <c r="B2" s="170" t="s">
        <v>62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</row>
    <row r="3" spans="2:26" s="47" customFormat="1" ht="26.25" customHeight="1">
      <c r="B3" s="171" t="s">
        <v>61</v>
      </c>
      <c r="C3" s="171" t="s">
        <v>0</v>
      </c>
      <c r="D3" s="171" t="s">
        <v>1</v>
      </c>
      <c r="E3" s="171" t="s">
        <v>2</v>
      </c>
      <c r="F3" s="186" t="s">
        <v>3</v>
      </c>
      <c r="G3" s="187"/>
      <c r="H3" s="188"/>
      <c r="I3" s="186" t="s">
        <v>4</v>
      </c>
      <c r="J3" s="187"/>
      <c r="K3" s="188"/>
      <c r="L3" s="204" t="s">
        <v>5</v>
      </c>
      <c r="M3" s="205"/>
      <c r="N3" s="206"/>
      <c r="O3" s="7"/>
      <c r="P3" s="7"/>
      <c r="Q3" s="7"/>
      <c r="R3" s="204" t="s">
        <v>7</v>
      </c>
      <c r="S3" s="205"/>
      <c r="T3" s="205"/>
      <c r="U3" s="205"/>
      <c r="V3" s="206"/>
      <c r="W3" s="186" t="s">
        <v>9</v>
      </c>
      <c r="X3" s="187"/>
      <c r="Y3" s="188"/>
      <c r="Z3" s="171" t="s">
        <v>10</v>
      </c>
    </row>
    <row r="4" spans="2:26" s="47" customFormat="1" ht="26.25" customHeight="1">
      <c r="B4" s="172"/>
      <c r="C4" s="172"/>
      <c r="D4" s="172"/>
      <c r="E4" s="172"/>
      <c r="F4" s="189"/>
      <c r="G4" s="190"/>
      <c r="H4" s="191"/>
      <c r="I4" s="189"/>
      <c r="J4" s="190"/>
      <c r="K4" s="191"/>
      <c r="L4" s="174" t="s">
        <v>6</v>
      </c>
      <c r="M4" s="175"/>
      <c r="N4" s="176"/>
      <c r="O4" s="8"/>
      <c r="P4" s="8"/>
      <c r="Q4" s="8"/>
      <c r="R4" s="174" t="s">
        <v>8</v>
      </c>
      <c r="S4" s="177"/>
      <c r="T4" s="175"/>
      <c r="U4" s="175"/>
      <c r="V4" s="176"/>
      <c r="W4" s="189"/>
      <c r="X4" s="190"/>
      <c r="Y4" s="191"/>
      <c r="Z4" s="172"/>
    </row>
    <row r="5" spans="2:26" s="47" customFormat="1" ht="33.75" customHeight="1" thickBot="1">
      <c r="B5" s="172"/>
      <c r="C5" s="172"/>
      <c r="D5" s="172"/>
      <c r="E5" s="172"/>
      <c r="F5" s="192"/>
      <c r="G5" s="193"/>
      <c r="H5" s="194"/>
      <c r="I5" s="192"/>
      <c r="J5" s="193"/>
      <c r="K5" s="194"/>
      <c r="L5" s="178"/>
      <c r="M5" s="179"/>
      <c r="N5" s="180"/>
      <c r="O5" s="9"/>
      <c r="P5" s="9"/>
      <c r="Q5" s="9"/>
      <c r="R5" s="181"/>
      <c r="S5" s="182"/>
      <c r="T5" s="182"/>
      <c r="U5" s="182"/>
      <c r="V5" s="183"/>
      <c r="W5" s="192"/>
      <c r="X5" s="193"/>
      <c r="Y5" s="194"/>
      <c r="Z5" s="172"/>
    </row>
    <row r="6" spans="2:26" s="47" customFormat="1" ht="26.25" customHeight="1">
      <c r="B6" s="172"/>
      <c r="C6" s="172"/>
      <c r="D6" s="172"/>
      <c r="E6" s="172"/>
      <c r="F6" s="10" t="s">
        <v>11</v>
      </c>
      <c r="G6" s="11"/>
      <c r="H6" s="171" t="s">
        <v>41</v>
      </c>
      <c r="I6" s="184">
        <v>2561</v>
      </c>
      <c r="J6" s="184">
        <v>2562</v>
      </c>
      <c r="K6" s="184">
        <v>2563</v>
      </c>
      <c r="L6" s="184">
        <v>2561</v>
      </c>
      <c r="M6" s="184">
        <v>2562</v>
      </c>
      <c r="N6" s="184">
        <v>2563</v>
      </c>
      <c r="O6" s="5" t="s">
        <v>19</v>
      </c>
      <c r="P6" s="5" t="s">
        <v>20</v>
      </c>
      <c r="Q6" s="5"/>
      <c r="R6" s="184">
        <v>2561</v>
      </c>
      <c r="S6" s="184">
        <v>2562</v>
      </c>
      <c r="T6" s="184">
        <v>2562</v>
      </c>
      <c r="U6" s="5"/>
      <c r="V6" s="171">
        <v>2563</v>
      </c>
      <c r="W6" s="184">
        <v>2561</v>
      </c>
      <c r="X6" s="184">
        <v>2562</v>
      </c>
      <c r="Y6" s="184">
        <v>2563</v>
      </c>
      <c r="Z6" s="172"/>
    </row>
    <row r="7" spans="2:26" s="47" customFormat="1" ht="26.25" customHeight="1" thickBot="1">
      <c r="B7" s="173"/>
      <c r="C7" s="173"/>
      <c r="D7" s="173"/>
      <c r="E7" s="173"/>
      <c r="F7" s="12" t="s">
        <v>12</v>
      </c>
      <c r="G7" s="13"/>
      <c r="H7" s="173"/>
      <c r="I7" s="185"/>
      <c r="J7" s="185"/>
      <c r="K7" s="185"/>
      <c r="L7" s="185"/>
      <c r="M7" s="185"/>
      <c r="N7" s="185"/>
      <c r="O7" s="6"/>
      <c r="P7" s="6"/>
      <c r="Q7" s="6"/>
      <c r="R7" s="185"/>
      <c r="S7" s="185"/>
      <c r="T7" s="185"/>
      <c r="U7" s="6"/>
      <c r="V7" s="173"/>
      <c r="W7" s="185"/>
      <c r="X7" s="185"/>
      <c r="Y7" s="185"/>
      <c r="Z7" s="173"/>
    </row>
    <row r="8" spans="2:26" s="52" customFormat="1" ht="21" customHeight="1">
      <c r="B8" s="28">
        <v>1</v>
      </c>
      <c r="C8" s="27" t="s">
        <v>95</v>
      </c>
      <c r="D8" s="28" t="s">
        <v>70</v>
      </c>
      <c r="E8" s="28">
        <v>1</v>
      </c>
      <c r="F8" s="48">
        <v>1</v>
      </c>
      <c r="G8" s="49">
        <f>31900*6+31900*6+11200*12</f>
        <v>517200</v>
      </c>
      <c r="H8" s="14">
        <f>34430*12+7000*12+7000*12</f>
        <v>581160</v>
      </c>
      <c r="I8" s="14">
        <v>1</v>
      </c>
      <c r="J8" s="14">
        <v>1</v>
      </c>
      <c r="K8" s="14">
        <v>1</v>
      </c>
      <c r="L8" s="14" t="s">
        <v>13</v>
      </c>
      <c r="M8" s="50" t="s">
        <v>13</v>
      </c>
      <c r="N8" s="50" t="s">
        <v>13</v>
      </c>
      <c r="O8" s="51">
        <v>28930</v>
      </c>
      <c r="P8" s="51">
        <v>30100</v>
      </c>
      <c r="Q8" s="51">
        <f>P8-O8</f>
        <v>1170</v>
      </c>
      <c r="R8" s="15">
        <f>1330*12</f>
        <v>15960</v>
      </c>
      <c r="S8" s="16" t="s">
        <v>81</v>
      </c>
      <c r="T8" s="15">
        <v>16440</v>
      </c>
      <c r="U8" s="16" t="s">
        <v>80</v>
      </c>
      <c r="V8" s="15">
        <v>16440</v>
      </c>
      <c r="W8" s="14">
        <f>H8+R8</f>
        <v>597120</v>
      </c>
      <c r="X8" s="14">
        <f>W8+T8</f>
        <v>613560</v>
      </c>
      <c r="Y8" s="14">
        <f>X8+V8</f>
        <v>630000</v>
      </c>
      <c r="Z8" s="152">
        <v>34430</v>
      </c>
    </row>
    <row r="9" spans="2:26" s="52" customFormat="1" ht="21" customHeight="1">
      <c r="B9" s="29">
        <v>2</v>
      </c>
      <c r="C9" s="25" t="s">
        <v>98</v>
      </c>
      <c r="D9" s="29" t="s">
        <v>71</v>
      </c>
      <c r="E9" s="29">
        <v>1</v>
      </c>
      <c r="F9" s="24">
        <v>1</v>
      </c>
      <c r="G9" s="30">
        <f>25470*6+25470*6+3500*12</f>
        <v>347640</v>
      </c>
      <c r="H9" s="1">
        <f>28030*12+3500*12</f>
        <v>378360</v>
      </c>
      <c r="I9" s="1">
        <v>1</v>
      </c>
      <c r="J9" s="1">
        <v>1</v>
      </c>
      <c r="K9" s="1">
        <v>1</v>
      </c>
      <c r="L9" s="1" t="s">
        <v>13</v>
      </c>
      <c r="M9" s="2" t="s">
        <v>13</v>
      </c>
      <c r="N9" s="2" t="s">
        <v>13</v>
      </c>
      <c r="O9" s="53">
        <v>21190</v>
      </c>
      <c r="P9" s="53">
        <v>22040</v>
      </c>
      <c r="Q9" s="31">
        <f t="shared" ref="Q9:Q11" si="0">P9-O9</f>
        <v>850</v>
      </c>
      <c r="R9" s="17">
        <v>12960</v>
      </c>
      <c r="S9" s="18" t="s">
        <v>82</v>
      </c>
      <c r="T9" s="17">
        <v>13320</v>
      </c>
      <c r="U9" s="18" t="s">
        <v>83</v>
      </c>
      <c r="V9" s="17">
        <v>13440</v>
      </c>
      <c r="W9" s="1">
        <f>H9+R9</f>
        <v>391320</v>
      </c>
      <c r="X9" s="1">
        <f>W9+T9</f>
        <v>404640</v>
      </c>
      <c r="Y9" s="1">
        <f>X9+V9</f>
        <v>418080</v>
      </c>
      <c r="Z9" s="153">
        <v>28030</v>
      </c>
    </row>
    <row r="10" spans="2:26" ht="22.5" customHeight="1">
      <c r="B10" s="29"/>
      <c r="C10" s="19" t="s">
        <v>99</v>
      </c>
      <c r="D10" s="24"/>
      <c r="E10" s="24"/>
      <c r="F10" s="24"/>
      <c r="G10" s="30"/>
      <c r="H10" s="1"/>
      <c r="I10" s="1"/>
      <c r="J10" s="1"/>
      <c r="K10" s="1"/>
      <c r="L10" s="2"/>
      <c r="M10" s="2"/>
      <c r="N10" s="2"/>
      <c r="O10" s="31"/>
      <c r="P10" s="31"/>
      <c r="Q10" s="31"/>
      <c r="R10" s="17"/>
      <c r="S10" s="18"/>
      <c r="T10" s="17"/>
      <c r="U10" s="18"/>
      <c r="V10" s="17"/>
      <c r="W10" s="54">
        <f t="shared" ref="W10" si="1">H10+R10</f>
        <v>0</v>
      </c>
      <c r="X10" s="54">
        <f t="shared" ref="X10" si="2">W10+T10</f>
        <v>0</v>
      </c>
      <c r="Y10" s="1">
        <f t="shared" ref="Y10:Y14" si="3">X10+V10</f>
        <v>0</v>
      </c>
      <c r="Z10" s="23"/>
    </row>
    <row r="11" spans="2:26" ht="21" customHeight="1">
      <c r="B11" s="29">
        <v>3</v>
      </c>
      <c r="C11" s="25" t="s">
        <v>96</v>
      </c>
      <c r="D11" s="24" t="s">
        <v>71</v>
      </c>
      <c r="E11" s="24">
        <v>1</v>
      </c>
      <c r="F11" s="24">
        <v>1</v>
      </c>
      <c r="G11" s="30">
        <f>23370*6+23550*6+3500*12</f>
        <v>323520</v>
      </c>
      <c r="H11" s="1">
        <f>25470*12+3500*12</f>
        <v>347640</v>
      </c>
      <c r="I11" s="1">
        <v>1</v>
      </c>
      <c r="J11" s="1">
        <v>1</v>
      </c>
      <c r="K11" s="1">
        <v>1</v>
      </c>
      <c r="L11" s="2" t="s">
        <v>13</v>
      </c>
      <c r="M11" s="2" t="s">
        <v>13</v>
      </c>
      <c r="N11" s="2" t="s">
        <v>13</v>
      </c>
      <c r="O11" s="55">
        <v>20360</v>
      </c>
      <c r="P11" s="55">
        <v>21190</v>
      </c>
      <c r="Q11" s="31">
        <f t="shared" si="0"/>
        <v>830</v>
      </c>
      <c r="R11" s="20">
        <v>11880</v>
      </c>
      <c r="S11" s="21" t="s">
        <v>84</v>
      </c>
      <c r="T11" s="20">
        <v>12240</v>
      </c>
      <c r="U11" s="21" t="s">
        <v>85</v>
      </c>
      <c r="V11" s="20">
        <v>12960</v>
      </c>
      <c r="W11" s="22">
        <f>H11+R11</f>
        <v>359520</v>
      </c>
      <c r="X11" s="22">
        <f>W11+T11</f>
        <v>371760</v>
      </c>
      <c r="Y11" s="1">
        <f t="shared" si="3"/>
        <v>384720</v>
      </c>
      <c r="Z11" s="2">
        <v>25470</v>
      </c>
    </row>
    <row r="12" spans="2:26" ht="21" customHeight="1">
      <c r="B12" s="29">
        <v>4</v>
      </c>
      <c r="C12" s="162" t="s">
        <v>118</v>
      </c>
      <c r="D12" s="24" t="s">
        <v>100</v>
      </c>
      <c r="E12" s="24">
        <v>1</v>
      </c>
      <c r="F12" s="24">
        <v>1</v>
      </c>
      <c r="G12" s="30">
        <f>22230*12</f>
        <v>266760</v>
      </c>
      <c r="H12" s="1">
        <f>24010*12</f>
        <v>288120</v>
      </c>
      <c r="I12" s="1">
        <v>1</v>
      </c>
      <c r="J12" s="1">
        <v>1</v>
      </c>
      <c r="K12" s="1">
        <v>1</v>
      </c>
      <c r="L12" s="2" t="s">
        <v>13</v>
      </c>
      <c r="M12" s="2" t="s">
        <v>13</v>
      </c>
      <c r="N12" s="2" t="s">
        <v>13</v>
      </c>
      <c r="O12" s="31">
        <v>18190</v>
      </c>
      <c r="P12" s="31">
        <v>18790</v>
      </c>
      <c r="Q12" s="31">
        <f>P12-O12</f>
        <v>600</v>
      </c>
      <c r="R12" s="17">
        <v>11520</v>
      </c>
      <c r="S12" s="18" t="s">
        <v>86</v>
      </c>
      <c r="T12" s="17">
        <v>12000</v>
      </c>
      <c r="U12" s="18" t="s">
        <v>87</v>
      </c>
      <c r="V12" s="17">
        <v>12120</v>
      </c>
      <c r="W12" s="22">
        <f>H12+R12</f>
        <v>299640</v>
      </c>
      <c r="X12" s="22">
        <f>W12+T12</f>
        <v>311640</v>
      </c>
      <c r="Y12" s="1">
        <f t="shared" si="3"/>
        <v>323760</v>
      </c>
      <c r="Z12" s="2">
        <v>24010</v>
      </c>
    </row>
    <row r="13" spans="2:26" ht="21" customHeight="1">
      <c r="B13" s="29">
        <v>5</v>
      </c>
      <c r="C13" s="25" t="s">
        <v>72</v>
      </c>
      <c r="D13" s="24" t="s">
        <v>73</v>
      </c>
      <c r="E13" s="24">
        <v>1</v>
      </c>
      <c r="F13" s="24">
        <v>1</v>
      </c>
      <c r="G13" s="30">
        <f>18790*6+18950*6</f>
        <v>226440</v>
      </c>
      <c r="H13" s="1">
        <f>20120*12</f>
        <v>241440</v>
      </c>
      <c r="I13" s="1">
        <v>1</v>
      </c>
      <c r="J13" s="1">
        <v>1</v>
      </c>
      <c r="K13" s="1">
        <v>1</v>
      </c>
      <c r="L13" s="2" t="s">
        <v>13</v>
      </c>
      <c r="M13" s="2" t="s">
        <v>13</v>
      </c>
      <c r="N13" s="2" t="s">
        <v>13</v>
      </c>
      <c r="O13" s="31">
        <v>16650</v>
      </c>
      <c r="P13" s="31">
        <v>17270</v>
      </c>
      <c r="Q13" s="31">
        <f>P13-O13</f>
        <v>620</v>
      </c>
      <c r="R13" s="17">
        <v>7800</v>
      </c>
      <c r="S13" s="18" t="s">
        <v>88</v>
      </c>
      <c r="T13" s="17">
        <v>8760</v>
      </c>
      <c r="U13" s="18" t="s">
        <v>87</v>
      </c>
      <c r="V13" s="17">
        <v>8760</v>
      </c>
      <c r="W13" s="22">
        <f>H13+R13</f>
        <v>249240</v>
      </c>
      <c r="X13" s="22">
        <f>W13+T13</f>
        <v>258000</v>
      </c>
      <c r="Y13" s="1">
        <f t="shared" si="3"/>
        <v>266760</v>
      </c>
      <c r="Z13" s="2">
        <v>20120</v>
      </c>
    </row>
    <row r="14" spans="2:26" ht="21" customHeight="1">
      <c r="B14" s="29">
        <v>6</v>
      </c>
      <c r="C14" s="25" t="s">
        <v>119</v>
      </c>
      <c r="D14" s="26" t="s">
        <v>74</v>
      </c>
      <c r="E14" s="24">
        <v>1</v>
      </c>
      <c r="F14" s="24">
        <v>1</v>
      </c>
      <c r="G14" s="30">
        <f>20040*6+20360*6</f>
        <v>242400</v>
      </c>
      <c r="H14" s="1">
        <f>22040*12</f>
        <v>264480</v>
      </c>
      <c r="I14" s="1">
        <v>1</v>
      </c>
      <c r="J14" s="1">
        <v>1</v>
      </c>
      <c r="K14" s="1">
        <v>1</v>
      </c>
      <c r="L14" s="2" t="s">
        <v>13</v>
      </c>
      <c r="M14" s="2" t="s">
        <v>13</v>
      </c>
      <c r="N14" s="2" t="s">
        <v>13</v>
      </c>
      <c r="O14" s="31">
        <v>17890</v>
      </c>
      <c r="P14" s="31">
        <v>18590</v>
      </c>
      <c r="Q14" s="31">
        <f>P14-O14</f>
        <v>700</v>
      </c>
      <c r="R14" s="17">
        <v>10560</v>
      </c>
      <c r="S14" s="18" t="s">
        <v>89</v>
      </c>
      <c r="T14" s="17">
        <v>10800</v>
      </c>
      <c r="U14" s="18" t="s">
        <v>90</v>
      </c>
      <c r="V14" s="17">
        <v>10920</v>
      </c>
      <c r="W14" s="22">
        <f>H14+R14</f>
        <v>275040</v>
      </c>
      <c r="X14" s="22">
        <f>W14+T14</f>
        <v>285840</v>
      </c>
      <c r="Y14" s="1">
        <f t="shared" si="3"/>
        <v>296760</v>
      </c>
      <c r="Z14" s="2">
        <v>22040</v>
      </c>
    </row>
    <row r="15" spans="2:26" ht="21" customHeight="1">
      <c r="B15" s="29">
        <v>7</v>
      </c>
      <c r="C15" s="25" t="s">
        <v>120</v>
      </c>
      <c r="D15" s="26" t="s">
        <v>75</v>
      </c>
      <c r="E15" s="24">
        <v>1</v>
      </c>
      <c r="F15" s="24" t="s">
        <v>13</v>
      </c>
      <c r="G15" s="30">
        <f>59970+99930</f>
        <v>159900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2" t="s">
        <v>101</v>
      </c>
    </row>
    <row r="16" spans="2:26" ht="22.5" customHeight="1">
      <c r="B16" s="29"/>
      <c r="C16" s="56" t="s">
        <v>21</v>
      </c>
      <c r="D16" s="57"/>
      <c r="E16" s="24"/>
      <c r="F16" s="24"/>
      <c r="G16" s="30"/>
      <c r="H16" s="57"/>
      <c r="I16" s="57"/>
      <c r="J16" s="57"/>
      <c r="K16" s="57"/>
      <c r="L16" s="24"/>
      <c r="M16" s="24"/>
      <c r="N16" s="24"/>
      <c r="O16" s="30"/>
      <c r="P16" s="30"/>
      <c r="Q16" s="30"/>
      <c r="R16" s="1"/>
      <c r="S16" s="58"/>
      <c r="T16" s="24"/>
      <c r="U16" s="30"/>
      <c r="V16" s="57"/>
      <c r="W16" s="59" t="s">
        <v>36</v>
      </c>
      <c r="X16" s="59" t="s">
        <v>36</v>
      </c>
      <c r="Y16" s="59" t="s">
        <v>18</v>
      </c>
      <c r="Z16" s="24"/>
    </row>
    <row r="17" spans="2:26" ht="22.5" customHeight="1">
      <c r="B17" s="29"/>
      <c r="C17" s="56" t="s">
        <v>22</v>
      </c>
      <c r="D17" s="57"/>
      <c r="E17" s="24"/>
      <c r="F17" s="24"/>
      <c r="G17" s="30"/>
      <c r="H17" s="57"/>
      <c r="I17" s="57"/>
      <c r="J17" s="57"/>
      <c r="K17" s="57"/>
      <c r="L17" s="24"/>
      <c r="M17" s="24"/>
      <c r="N17" s="24"/>
      <c r="O17" s="30"/>
      <c r="P17" s="30"/>
      <c r="Q17" s="30"/>
      <c r="R17" s="1"/>
      <c r="S17" s="58"/>
      <c r="T17" s="24"/>
      <c r="U17" s="30"/>
      <c r="V17" s="57"/>
      <c r="W17" s="59" t="s">
        <v>18</v>
      </c>
      <c r="X17" s="59" t="s">
        <v>18</v>
      </c>
      <c r="Y17" s="59" t="s">
        <v>18</v>
      </c>
      <c r="Z17" s="24"/>
    </row>
    <row r="18" spans="2:26" ht="21" customHeight="1">
      <c r="B18" s="29">
        <v>8</v>
      </c>
      <c r="C18" s="37" t="s">
        <v>108</v>
      </c>
      <c r="D18" s="57"/>
      <c r="E18" s="24">
        <v>1</v>
      </c>
      <c r="F18" s="24">
        <v>1</v>
      </c>
      <c r="G18" s="30" t="s">
        <v>50</v>
      </c>
      <c r="H18" s="1">
        <f>17940*12</f>
        <v>215280</v>
      </c>
      <c r="I18" s="1">
        <v>1</v>
      </c>
      <c r="J18" s="1">
        <v>1</v>
      </c>
      <c r="K18" s="1">
        <v>1</v>
      </c>
      <c r="L18" s="2" t="s">
        <v>13</v>
      </c>
      <c r="M18" s="2" t="s">
        <v>13</v>
      </c>
      <c r="N18" s="2" t="s">
        <v>13</v>
      </c>
      <c r="O18" s="209" t="s">
        <v>48</v>
      </c>
      <c r="P18" s="209"/>
      <c r="Q18" s="209"/>
      <c r="R18" s="17">
        <v>8640</v>
      </c>
      <c r="S18" s="18" t="s">
        <v>49</v>
      </c>
      <c r="T18" s="17">
        <v>9000</v>
      </c>
      <c r="U18" s="18" t="s">
        <v>34</v>
      </c>
      <c r="V18" s="17">
        <v>9360</v>
      </c>
      <c r="W18" s="22">
        <f>H18+R18</f>
        <v>223920</v>
      </c>
      <c r="X18" s="22">
        <f>W18+T18</f>
        <v>232920</v>
      </c>
      <c r="Y18" s="1">
        <f t="shared" ref="Y18:Y20" si="4">X18+V18</f>
        <v>242280</v>
      </c>
      <c r="Z18" s="2">
        <v>17940</v>
      </c>
    </row>
    <row r="19" spans="2:26" ht="21" customHeight="1">
      <c r="B19" s="29">
        <v>9</v>
      </c>
      <c r="C19" s="25" t="s">
        <v>109</v>
      </c>
      <c r="D19" s="57"/>
      <c r="E19" s="24">
        <v>1</v>
      </c>
      <c r="F19" s="24">
        <v>1</v>
      </c>
      <c r="G19" s="30">
        <f>11500*12</f>
        <v>138000</v>
      </c>
      <c r="H19" s="1">
        <f>12080*12</f>
        <v>144960</v>
      </c>
      <c r="I19" s="1">
        <v>1</v>
      </c>
      <c r="J19" s="1">
        <v>1</v>
      </c>
      <c r="K19" s="1">
        <v>1</v>
      </c>
      <c r="L19" s="2" t="s">
        <v>13</v>
      </c>
      <c r="M19" s="2" t="s">
        <v>13</v>
      </c>
      <c r="N19" s="2" t="s">
        <v>13</v>
      </c>
      <c r="O19" s="210" t="s">
        <v>51</v>
      </c>
      <c r="P19" s="210"/>
      <c r="Q19" s="210"/>
      <c r="R19" s="17">
        <v>5880</v>
      </c>
      <c r="S19" s="18" t="s">
        <v>52</v>
      </c>
      <c r="T19" s="17">
        <v>6120</v>
      </c>
      <c r="U19" s="18" t="s">
        <v>35</v>
      </c>
      <c r="V19" s="17">
        <v>6360</v>
      </c>
      <c r="W19" s="22">
        <f>H19+R19</f>
        <v>150840</v>
      </c>
      <c r="X19" s="22">
        <f>W19+T19</f>
        <v>156960</v>
      </c>
      <c r="Y19" s="1">
        <f t="shared" si="4"/>
        <v>163320</v>
      </c>
      <c r="Z19" s="2">
        <v>12080</v>
      </c>
    </row>
    <row r="20" spans="2:26" ht="21" customHeight="1">
      <c r="B20" s="29">
        <v>10</v>
      </c>
      <c r="C20" s="25" t="s">
        <v>110</v>
      </c>
      <c r="D20" s="57"/>
      <c r="E20" s="24">
        <v>1</v>
      </c>
      <c r="F20" s="24">
        <v>1</v>
      </c>
      <c r="G20" s="30">
        <f>10910*12</f>
        <v>130920</v>
      </c>
      <c r="H20" s="1">
        <f>11350*12</f>
        <v>136200</v>
      </c>
      <c r="I20" s="1">
        <v>1</v>
      </c>
      <c r="J20" s="1">
        <v>1</v>
      </c>
      <c r="K20" s="1">
        <v>1</v>
      </c>
      <c r="L20" s="2" t="s">
        <v>13</v>
      </c>
      <c r="M20" s="2" t="s">
        <v>13</v>
      </c>
      <c r="N20" s="2" t="s">
        <v>13</v>
      </c>
      <c r="O20" s="210" t="s">
        <v>53</v>
      </c>
      <c r="P20" s="210"/>
      <c r="Q20" s="210"/>
      <c r="R20" s="17">
        <v>5520</v>
      </c>
      <c r="S20" s="18" t="s">
        <v>54</v>
      </c>
      <c r="T20" s="17">
        <v>5760</v>
      </c>
      <c r="U20" s="18" t="s">
        <v>35</v>
      </c>
      <c r="V20" s="17">
        <v>6000</v>
      </c>
      <c r="W20" s="22">
        <f>H20+R20</f>
        <v>141720</v>
      </c>
      <c r="X20" s="22">
        <f>W20+T20</f>
        <v>147480</v>
      </c>
      <c r="Y20" s="1">
        <f t="shared" si="4"/>
        <v>153480</v>
      </c>
      <c r="Z20" s="2">
        <v>11350</v>
      </c>
    </row>
    <row r="21" spans="2:26" ht="25.5" customHeight="1">
      <c r="B21" s="29">
        <v>11</v>
      </c>
      <c r="C21" s="25" t="s">
        <v>110</v>
      </c>
      <c r="D21" s="57"/>
      <c r="E21" s="24">
        <v>1</v>
      </c>
      <c r="F21" s="24">
        <v>1</v>
      </c>
      <c r="G21" s="30">
        <f>10910*12</f>
        <v>130920</v>
      </c>
      <c r="H21" s="1">
        <f>11350*12</f>
        <v>136200</v>
      </c>
      <c r="I21" s="1">
        <v>1</v>
      </c>
      <c r="J21" s="1">
        <v>1</v>
      </c>
      <c r="K21" s="1">
        <v>1</v>
      </c>
      <c r="L21" s="2" t="s">
        <v>13</v>
      </c>
      <c r="M21" s="2" t="s">
        <v>13</v>
      </c>
      <c r="N21" s="2" t="s">
        <v>13</v>
      </c>
      <c r="O21" s="210" t="s">
        <v>53</v>
      </c>
      <c r="P21" s="210"/>
      <c r="Q21" s="210"/>
      <c r="R21" s="17">
        <v>5520</v>
      </c>
      <c r="S21" s="18" t="s">
        <v>54</v>
      </c>
      <c r="T21" s="17">
        <v>5760</v>
      </c>
      <c r="U21" s="18" t="s">
        <v>35</v>
      </c>
      <c r="V21" s="17">
        <v>6000</v>
      </c>
      <c r="W21" s="17">
        <f t="shared" ref="W21" si="5">H21+R21</f>
        <v>141720</v>
      </c>
      <c r="X21" s="17">
        <f t="shared" ref="X21" si="6">H21+R21+T21</f>
        <v>147480</v>
      </c>
      <c r="Y21" s="17">
        <f t="shared" ref="Y21" si="7">H21+R21+T21+V21</f>
        <v>153480</v>
      </c>
      <c r="Z21" s="2">
        <v>11350</v>
      </c>
    </row>
    <row r="22" spans="2:26" ht="22.5" customHeight="1">
      <c r="B22" s="29"/>
      <c r="C22" s="56" t="s">
        <v>23</v>
      </c>
      <c r="D22" s="57"/>
      <c r="E22" s="24"/>
      <c r="F22" s="24"/>
      <c r="G22" s="30"/>
      <c r="H22" s="1"/>
      <c r="I22" s="1"/>
      <c r="J22" s="1"/>
      <c r="K22" s="1"/>
      <c r="L22" s="2"/>
      <c r="M22" s="2"/>
      <c r="N22" s="2"/>
      <c r="O22" s="31"/>
      <c r="P22" s="31"/>
      <c r="Q22" s="31"/>
      <c r="R22" s="17"/>
      <c r="S22" s="18"/>
      <c r="T22" s="17"/>
      <c r="U22" s="18"/>
      <c r="V22" s="17"/>
      <c r="W22" s="17" t="s">
        <v>18</v>
      </c>
      <c r="X22" s="17" t="s">
        <v>18</v>
      </c>
      <c r="Y22" s="17" t="s">
        <v>18</v>
      </c>
      <c r="Z22" s="2"/>
    </row>
    <row r="23" spans="2:26" ht="22.5" customHeight="1" thickBot="1">
      <c r="B23" s="60">
        <v>12</v>
      </c>
      <c r="C23" s="61" t="s">
        <v>42</v>
      </c>
      <c r="D23" s="62"/>
      <c r="E23" s="63">
        <v>1</v>
      </c>
      <c r="F23" s="63">
        <v>1</v>
      </c>
      <c r="G23" s="64">
        <f>10860*12</f>
        <v>130320</v>
      </c>
      <c r="H23" s="65">
        <f>11350*12</f>
        <v>136200</v>
      </c>
      <c r="I23" s="65">
        <v>1</v>
      </c>
      <c r="J23" s="65">
        <v>1</v>
      </c>
      <c r="K23" s="65">
        <v>1</v>
      </c>
      <c r="L23" s="66" t="s">
        <v>13</v>
      </c>
      <c r="M23" s="66" t="s">
        <v>13</v>
      </c>
      <c r="N23" s="66" t="s">
        <v>13</v>
      </c>
      <c r="O23" s="215" t="s">
        <v>53</v>
      </c>
      <c r="P23" s="215"/>
      <c r="Q23" s="215"/>
      <c r="R23" s="67">
        <v>5520</v>
      </c>
      <c r="S23" s="68" t="s">
        <v>54</v>
      </c>
      <c r="T23" s="67">
        <v>5760</v>
      </c>
      <c r="U23" s="68" t="s">
        <v>35</v>
      </c>
      <c r="V23" s="67">
        <v>6000</v>
      </c>
      <c r="W23" s="67">
        <f>H23+R23</f>
        <v>141720</v>
      </c>
      <c r="X23" s="67">
        <f t="shared" ref="X23" si="8">H23+R23+T23</f>
        <v>147480</v>
      </c>
      <c r="Y23" s="67">
        <f t="shared" ref="Y23" si="9">H23+R23+T23+V23</f>
        <v>153480</v>
      </c>
      <c r="Z23" s="66">
        <v>11350</v>
      </c>
    </row>
    <row r="24" spans="2:26" ht="22.5" customHeight="1">
      <c r="B24" s="69"/>
      <c r="C24" s="70"/>
      <c r="D24" s="71"/>
      <c r="E24" s="72"/>
      <c r="F24" s="72"/>
      <c r="G24" s="73"/>
      <c r="H24" s="74"/>
      <c r="I24" s="74"/>
      <c r="J24" s="74"/>
      <c r="K24" s="74"/>
      <c r="L24" s="75"/>
      <c r="M24" s="75"/>
      <c r="N24" s="75"/>
      <c r="O24" s="76"/>
      <c r="P24" s="76"/>
      <c r="Q24" s="76"/>
      <c r="R24" s="77"/>
      <c r="S24" s="78"/>
      <c r="T24" s="77"/>
      <c r="U24" s="78"/>
      <c r="V24" s="77"/>
      <c r="W24" s="77"/>
      <c r="X24" s="77"/>
      <c r="Y24" s="77"/>
      <c r="Z24" s="72"/>
    </row>
    <row r="25" spans="2:26" ht="22.5" customHeight="1">
      <c r="B25" s="69"/>
      <c r="C25" s="70"/>
      <c r="D25" s="71"/>
      <c r="E25" s="72"/>
      <c r="F25" s="72"/>
      <c r="G25" s="73"/>
      <c r="H25" s="74"/>
      <c r="I25" s="74"/>
      <c r="J25" s="74"/>
      <c r="K25" s="74"/>
      <c r="L25" s="75"/>
      <c r="M25" s="75"/>
      <c r="N25" s="75"/>
      <c r="O25" s="76"/>
      <c r="P25" s="76"/>
      <c r="Q25" s="76"/>
      <c r="R25" s="77"/>
      <c r="S25" s="78"/>
      <c r="T25" s="77"/>
      <c r="U25" s="78"/>
      <c r="V25" s="77"/>
      <c r="W25" s="77"/>
      <c r="X25" s="77"/>
      <c r="Y25" s="77"/>
      <c r="Z25" s="72"/>
    </row>
    <row r="26" spans="2:26" ht="22.5" customHeight="1">
      <c r="B26" s="69"/>
      <c r="C26" s="70"/>
      <c r="D26" s="71"/>
      <c r="E26" s="72"/>
      <c r="F26" s="72"/>
      <c r="G26" s="73"/>
      <c r="H26" s="74"/>
      <c r="I26" s="74"/>
      <c r="J26" s="74"/>
      <c r="K26" s="74"/>
      <c r="L26" s="75"/>
      <c r="M26" s="75"/>
      <c r="N26" s="75"/>
      <c r="O26" s="76"/>
      <c r="P26" s="76"/>
      <c r="Q26" s="76"/>
      <c r="R26" s="77"/>
      <c r="S26" s="78"/>
      <c r="T26" s="77"/>
      <c r="U26" s="78"/>
      <c r="V26" s="77"/>
      <c r="W26" s="77"/>
      <c r="X26" s="77"/>
      <c r="Y26" s="77"/>
      <c r="Z26" s="72"/>
    </row>
    <row r="27" spans="2:26" ht="22.5" customHeight="1">
      <c r="B27" s="69"/>
      <c r="C27" s="70"/>
      <c r="D27" s="71"/>
      <c r="E27" s="72"/>
      <c r="F27" s="72"/>
      <c r="G27" s="73"/>
      <c r="H27" s="74"/>
      <c r="I27" s="74"/>
      <c r="J27" s="74"/>
      <c r="K27" s="74"/>
      <c r="L27" s="75"/>
      <c r="M27" s="75"/>
      <c r="N27" s="75"/>
      <c r="O27" s="76"/>
      <c r="P27" s="76"/>
      <c r="Q27" s="76"/>
      <c r="R27" s="77"/>
      <c r="S27" s="78"/>
      <c r="T27" s="77"/>
      <c r="U27" s="78"/>
      <c r="V27" s="77"/>
      <c r="W27" s="77"/>
      <c r="X27" s="77"/>
      <c r="Y27" s="77"/>
      <c r="Z27" s="72"/>
    </row>
    <row r="28" spans="2:26" ht="22.5" customHeight="1">
      <c r="B28" s="69"/>
      <c r="C28" s="70"/>
      <c r="D28" s="71"/>
      <c r="E28" s="72"/>
      <c r="F28" s="72"/>
      <c r="G28" s="73"/>
      <c r="H28" s="74"/>
      <c r="I28" s="74"/>
      <c r="J28" s="74"/>
      <c r="K28" s="74"/>
      <c r="L28" s="75"/>
      <c r="M28" s="75"/>
      <c r="N28" s="75"/>
      <c r="O28" s="76"/>
      <c r="P28" s="76"/>
      <c r="Q28" s="76"/>
      <c r="R28" s="77"/>
      <c r="S28" s="78"/>
      <c r="T28" s="77"/>
      <c r="U28" s="78"/>
      <c r="V28" s="77"/>
      <c r="W28" s="77"/>
      <c r="X28" s="77"/>
      <c r="Y28" s="77"/>
      <c r="Z28" s="72"/>
    </row>
    <row r="29" spans="2:26" ht="47.25" customHeight="1">
      <c r="B29" s="69"/>
      <c r="C29" s="70"/>
      <c r="D29" s="71"/>
      <c r="E29" s="72"/>
      <c r="F29" s="72"/>
      <c r="G29" s="73"/>
      <c r="H29" s="74"/>
      <c r="I29" s="74"/>
      <c r="J29" s="74"/>
      <c r="K29" s="74"/>
      <c r="L29" s="75"/>
      <c r="M29" s="75"/>
      <c r="N29" s="75"/>
      <c r="O29" s="76"/>
      <c r="P29" s="76"/>
      <c r="Q29" s="76"/>
      <c r="R29" s="77"/>
      <c r="S29" s="78"/>
      <c r="T29" s="77"/>
      <c r="U29" s="78"/>
      <c r="V29" s="77"/>
      <c r="W29" s="77"/>
      <c r="X29" s="77"/>
      <c r="Y29" s="77"/>
      <c r="Z29" s="72"/>
    </row>
    <row r="30" spans="2:26" s="83" customFormat="1" ht="31.5" customHeight="1" thickBot="1">
      <c r="B30" s="69"/>
      <c r="C30" s="70"/>
      <c r="D30" s="71"/>
      <c r="E30" s="72"/>
      <c r="F30" s="72"/>
      <c r="G30" s="73"/>
      <c r="H30" s="74"/>
      <c r="I30" s="71"/>
      <c r="J30" s="71"/>
      <c r="K30" s="71"/>
      <c r="L30" s="72"/>
      <c r="M30" s="72"/>
      <c r="N30" s="72"/>
      <c r="O30" s="73"/>
      <c r="P30" s="73"/>
      <c r="Q30" s="73"/>
      <c r="R30" s="77"/>
      <c r="S30" s="79"/>
      <c r="T30" s="77"/>
      <c r="U30" s="79"/>
      <c r="V30" s="80"/>
      <c r="W30" s="81"/>
      <c r="X30" s="81"/>
      <c r="Y30" s="81"/>
      <c r="Z30" s="82" t="s">
        <v>18</v>
      </c>
    </row>
    <row r="31" spans="2:26" s="47" customFormat="1" ht="30.75" customHeight="1">
      <c r="B31" s="171" t="s">
        <v>61</v>
      </c>
      <c r="C31" s="171" t="s">
        <v>0</v>
      </c>
      <c r="D31" s="171" t="s">
        <v>1</v>
      </c>
      <c r="E31" s="171" t="s">
        <v>2</v>
      </c>
      <c r="F31" s="186" t="s">
        <v>3</v>
      </c>
      <c r="G31" s="187"/>
      <c r="H31" s="188"/>
      <c r="I31" s="186" t="s">
        <v>4</v>
      </c>
      <c r="J31" s="187"/>
      <c r="K31" s="188"/>
      <c r="L31" s="204" t="s">
        <v>5</v>
      </c>
      <c r="M31" s="205"/>
      <c r="N31" s="206"/>
      <c r="O31" s="7"/>
      <c r="P31" s="7"/>
      <c r="Q31" s="7"/>
      <c r="R31" s="204" t="s">
        <v>7</v>
      </c>
      <c r="S31" s="205"/>
      <c r="T31" s="205"/>
      <c r="U31" s="205"/>
      <c r="V31" s="206"/>
      <c r="W31" s="186" t="s">
        <v>9</v>
      </c>
      <c r="X31" s="187"/>
      <c r="Y31" s="188"/>
      <c r="Z31" s="171" t="s">
        <v>10</v>
      </c>
    </row>
    <row r="32" spans="2:26" s="47" customFormat="1" ht="30.75" customHeight="1">
      <c r="B32" s="172"/>
      <c r="C32" s="172"/>
      <c r="D32" s="172"/>
      <c r="E32" s="172"/>
      <c r="F32" s="189"/>
      <c r="G32" s="190"/>
      <c r="H32" s="191"/>
      <c r="I32" s="189"/>
      <c r="J32" s="190"/>
      <c r="K32" s="191"/>
      <c r="L32" s="174" t="s">
        <v>6</v>
      </c>
      <c r="M32" s="175"/>
      <c r="N32" s="176"/>
      <c r="O32" s="8"/>
      <c r="P32" s="8"/>
      <c r="Q32" s="8"/>
      <c r="R32" s="174" t="s">
        <v>8</v>
      </c>
      <c r="S32" s="177"/>
      <c r="T32" s="175"/>
      <c r="U32" s="175"/>
      <c r="V32" s="176"/>
      <c r="W32" s="189"/>
      <c r="X32" s="190"/>
      <c r="Y32" s="191"/>
      <c r="Z32" s="172"/>
    </row>
    <row r="33" spans="2:26" s="47" customFormat="1" ht="30.75" customHeight="1" thickBot="1">
      <c r="B33" s="172"/>
      <c r="C33" s="172"/>
      <c r="D33" s="172"/>
      <c r="E33" s="172"/>
      <c r="F33" s="192"/>
      <c r="G33" s="193"/>
      <c r="H33" s="194"/>
      <c r="I33" s="192"/>
      <c r="J33" s="193"/>
      <c r="K33" s="194"/>
      <c r="L33" s="178"/>
      <c r="M33" s="179"/>
      <c r="N33" s="180"/>
      <c r="O33" s="9"/>
      <c r="P33" s="9"/>
      <c r="Q33" s="9"/>
      <c r="R33" s="181"/>
      <c r="S33" s="182"/>
      <c r="T33" s="182"/>
      <c r="U33" s="182"/>
      <c r="V33" s="183"/>
      <c r="W33" s="192"/>
      <c r="X33" s="193"/>
      <c r="Y33" s="194"/>
      <c r="Z33" s="172"/>
    </row>
    <row r="34" spans="2:26" s="47" customFormat="1" ht="24.75" customHeight="1">
      <c r="B34" s="172"/>
      <c r="C34" s="172"/>
      <c r="D34" s="172"/>
      <c r="E34" s="172"/>
      <c r="F34" s="10" t="s">
        <v>11</v>
      </c>
      <c r="G34" s="11"/>
      <c r="H34" s="171" t="s">
        <v>41</v>
      </c>
      <c r="I34" s="184">
        <v>2561</v>
      </c>
      <c r="J34" s="184">
        <v>2562</v>
      </c>
      <c r="K34" s="184">
        <v>2563</v>
      </c>
      <c r="L34" s="184">
        <v>2561</v>
      </c>
      <c r="M34" s="184">
        <v>2562</v>
      </c>
      <c r="N34" s="184">
        <v>2563</v>
      </c>
      <c r="O34" s="5" t="s">
        <v>19</v>
      </c>
      <c r="P34" s="5" t="s">
        <v>20</v>
      </c>
      <c r="Q34" s="5"/>
      <c r="R34" s="184">
        <v>2561</v>
      </c>
      <c r="S34" s="184">
        <v>2562</v>
      </c>
      <c r="T34" s="184">
        <v>2562</v>
      </c>
      <c r="U34" s="5"/>
      <c r="V34" s="171">
        <v>2563</v>
      </c>
      <c r="W34" s="171">
        <v>2561</v>
      </c>
      <c r="X34" s="171">
        <v>2562</v>
      </c>
      <c r="Y34" s="171">
        <v>2563</v>
      </c>
      <c r="Z34" s="172"/>
    </row>
    <row r="35" spans="2:26" s="47" customFormat="1" ht="25.5" customHeight="1" thickBot="1">
      <c r="B35" s="173"/>
      <c r="C35" s="173"/>
      <c r="D35" s="173"/>
      <c r="E35" s="173"/>
      <c r="F35" s="12" t="s">
        <v>12</v>
      </c>
      <c r="G35" s="13"/>
      <c r="H35" s="173"/>
      <c r="I35" s="185"/>
      <c r="J35" s="185"/>
      <c r="K35" s="185"/>
      <c r="L35" s="185"/>
      <c r="M35" s="185"/>
      <c r="N35" s="185"/>
      <c r="O35" s="6"/>
      <c r="P35" s="6"/>
      <c r="Q35" s="6"/>
      <c r="R35" s="185"/>
      <c r="S35" s="185"/>
      <c r="T35" s="185"/>
      <c r="U35" s="6"/>
      <c r="V35" s="173"/>
      <c r="W35" s="173"/>
      <c r="X35" s="173"/>
      <c r="Y35" s="173"/>
      <c r="Z35" s="173"/>
    </row>
    <row r="36" spans="2:26" ht="22.5" customHeight="1">
      <c r="B36" s="28"/>
      <c r="C36" s="84" t="s">
        <v>24</v>
      </c>
      <c r="D36" s="85"/>
      <c r="E36" s="48"/>
      <c r="F36" s="48"/>
      <c r="G36" s="49"/>
      <c r="H36" s="86"/>
      <c r="I36" s="85"/>
      <c r="J36" s="85"/>
      <c r="K36" s="85"/>
      <c r="L36" s="87"/>
      <c r="M36" s="48"/>
      <c r="N36" s="48"/>
      <c r="O36" s="49"/>
      <c r="P36" s="49"/>
      <c r="Q36" s="49"/>
      <c r="R36" s="15"/>
      <c r="S36" s="88"/>
      <c r="T36" s="89"/>
      <c r="U36" s="88"/>
      <c r="V36" s="89"/>
      <c r="W36" s="90" t="s">
        <v>18</v>
      </c>
      <c r="X36" s="90" t="s">
        <v>18</v>
      </c>
      <c r="Y36" s="90" t="s">
        <v>18</v>
      </c>
      <c r="Z36" s="48"/>
    </row>
    <row r="37" spans="2:26" ht="22.5" customHeight="1">
      <c r="B37" s="29">
        <v>13</v>
      </c>
      <c r="C37" s="25" t="s">
        <v>25</v>
      </c>
      <c r="D37" s="57"/>
      <c r="E37" s="24">
        <v>1</v>
      </c>
      <c r="F37" s="24">
        <v>1</v>
      </c>
      <c r="G37" s="30">
        <f>9000*12</f>
        <v>108000</v>
      </c>
      <c r="H37" s="2">
        <f>SUM(G37)</f>
        <v>108000</v>
      </c>
      <c r="I37" s="1">
        <v>1</v>
      </c>
      <c r="J37" s="1">
        <v>1</v>
      </c>
      <c r="K37" s="1">
        <v>1</v>
      </c>
      <c r="L37" s="39" t="s">
        <v>13</v>
      </c>
      <c r="M37" s="2" t="s">
        <v>13</v>
      </c>
      <c r="N37" s="2" t="s">
        <v>13</v>
      </c>
      <c r="O37" s="210" t="s">
        <v>31</v>
      </c>
      <c r="P37" s="211"/>
      <c r="Q37" s="211"/>
      <c r="R37" s="2" t="s">
        <v>13</v>
      </c>
      <c r="S37" s="31" t="s">
        <v>32</v>
      </c>
      <c r="T37" s="2" t="s">
        <v>13</v>
      </c>
      <c r="U37" s="31" t="s">
        <v>33</v>
      </c>
      <c r="V37" s="2" t="s">
        <v>13</v>
      </c>
      <c r="W37" s="2">
        <f>SUM(H37)</f>
        <v>108000</v>
      </c>
      <c r="X37" s="2">
        <f>SUM(H37)</f>
        <v>108000</v>
      </c>
      <c r="Y37" s="2">
        <f>SUM(H37)</f>
        <v>108000</v>
      </c>
      <c r="Z37" s="2"/>
    </row>
    <row r="38" spans="2:26" ht="22.5" customHeight="1">
      <c r="B38" s="29"/>
      <c r="C38" s="91" t="s">
        <v>63</v>
      </c>
      <c r="D38" s="57"/>
      <c r="E38" s="24"/>
      <c r="F38" s="24"/>
      <c r="G38" s="30"/>
      <c r="H38" s="2"/>
      <c r="I38" s="1"/>
      <c r="J38" s="1"/>
      <c r="K38" s="1"/>
      <c r="L38" s="39"/>
      <c r="M38" s="2"/>
      <c r="N38" s="2"/>
      <c r="O38" s="31"/>
      <c r="P38" s="31"/>
      <c r="Q38" s="31"/>
      <c r="R38" s="2" t="s">
        <v>13</v>
      </c>
      <c r="S38" s="31"/>
      <c r="T38" s="2"/>
      <c r="U38" s="31"/>
      <c r="V38" s="2"/>
      <c r="W38" s="2" t="s">
        <v>18</v>
      </c>
      <c r="X38" s="2" t="s">
        <v>18</v>
      </c>
      <c r="Y38" s="2" t="s">
        <v>18</v>
      </c>
      <c r="Z38" s="24"/>
    </row>
    <row r="39" spans="2:26" ht="22.5" customHeight="1">
      <c r="B39" s="29">
        <v>14</v>
      </c>
      <c r="C39" s="37" t="s">
        <v>122</v>
      </c>
      <c r="D39" s="24" t="s">
        <v>71</v>
      </c>
      <c r="E39" s="24">
        <v>1</v>
      </c>
      <c r="F39" s="24">
        <v>1</v>
      </c>
      <c r="G39" s="30">
        <f>27480*12+3500*12</f>
        <v>371760</v>
      </c>
      <c r="H39" s="2">
        <f>30220*12+3500*12</f>
        <v>404640</v>
      </c>
      <c r="I39" s="1">
        <v>1</v>
      </c>
      <c r="J39" s="1">
        <v>1</v>
      </c>
      <c r="K39" s="1">
        <v>1</v>
      </c>
      <c r="L39" s="92" t="s">
        <v>13</v>
      </c>
      <c r="M39" s="2" t="s">
        <v>13</v>
      </c>
      <c r="N39" s="2" t="s">
        <v>13</v>
      </c>
      <c r="O39" s="31" t="s">
        <v>18</v>
      </c>
      <c r="P39" s="31" t="s">
        <v>60</v>
      </c>
      <c r="Q39" s="31">
        <v>880</v>
      </c>
      <c r="R39" s="2">
        <v>13440</v>
      </c>
      <c r="S39" s="31" t="s">
        <v>91</v>
      </c>
      <c r="T39" s="2">
        <v>13320</v>
      </c>
      <c r="U39" s="31" t="s">
        <v>87</v>
      </c>
      <c r="V39" s="2">
        <v>13320</v>
      </c>
      <c r="W39" s="2">
        <f t="shared" ref="W39" si="10">H39+R39</f>
        <v>418080</v>
      </c>
      <c r="X39" s="2">
        <f t="shared" ref="X39" si="11">H39+R39+T39</f>
        <v>431400</v>
      </c>
      <c r="Y39" s="2">
        <f t="shared" ref="Y39" si="12">H39+R39+T39+V39</f>
        <v>444720</v>
      </c>
      <c r="Z39" s="2">
        <v>30220</v>
      </c>
    </row>
    <row r="40" spans="2:26" s="98" customFormat="1" ht="22.5" customHeight="1">
      <c r="B40" s="93">
        <v>15</v>
      </c>
      <c r="C40" s="94" t="s">
        <v>43</v>
      </c>
      <c r="D40" s="95" t="s">
        <v>73</v>
      </c>
      <c r="E40" s="95">
        <v>1</v>
      </c>
      <c r="F40" s="95">
        <v>1</v>
      </c>
      <c r="G40" s="95">
        <f>21500*12</f>
        <v>258000</v>
      </c>
      <c r="H40" s="3">
        <f>23080*12</f>
        <v>276960</v>
      </c>
      <c r="I40" s="96">
        <v>1</v>
      </c>
      <c r="J40" s="96">
        <v>1</v>
      </c>
      <c r="K40" s="96">
        <v>1</v>
      </c>
      <c r="L40" s="3" t="s">
        <v>13</v>
      </c>
      <c r="M40" s="3" t="s">
        <v>13</v>
      </c>
      <c r="N40" s="3" t="s">
        <v>13</v>
      </c>
      <c r="O40" s="97"/>
      <c r="P40" s="3" t="s">
        <v>47</v>
      </c>
      <c r="Q40" s="3">
        <v>600</v>
      </c>
      <c r="R40" s="3">
        <v>11160</v>
      </c>
      <c r="S40" s="31" t="s">
        <v>92</v>
      </c>
      <c r="T40" s="3">
        <v>11520</v>
      </c>
      <c r="U40" s="31" t="s">
        <v>93</v>
      </c>
      <c r="V40" s="3">
        <v>12000</v>
      </c>
      <c r="W40" s="3">
        <f>H40+R40</f>
        <v>288120</v>
      </c>
      <c r="X40" s="3">
        <f t="shared" ref="X40:X56" si="13">H40+R40+T40</f>
        <v>299640</v>
      </c>
      <c r="Y40" s="3">
        <f t="shared" ref="Y40:Y56" si="14">H40+R40+T40+V40</f>
        <v>311640</v>
      </c>
      <c r="Z40" s="3">
        <v>23080</v>
      </c>
    </row>
    <row r="41" spans="2:26" s="99" customFormat="1" ht="22.5" customHeight="1">
      <c r="B41" s="29">
        <v>16</v>
      </c>
      <c r="C41" s="37" t="s">
        <v>67</v>
      </c>
      <c r="D41" s="38" t="s">
        <v>75</v>
      </c>
      <c r="E41" s="24">
        <v>1</v>
      </c>
      <c r="F41" s="24" t="s">
        <v>13</v>
      </c>
      <c r="G41" s="30">
        <f>59970+99930</f>
        <v>159900</v>
      </c>
      <c r="H41" s="2">
        <v>202620</v>
      </c>
      <c r="I41" s="1">
        <v>1</v>
      </c>
      <c r="J41" s="1">
        <v>1</v>
      </c>
      <c r="K41" s="1">
        <v>1</v>
      </c>
      <c r="L41" s="3" t="s">
        <v>13</v>
      </c>
      <c r="M41" s="3" t="s">
        <v>13</v>
      </c>
      <c r="N41" s="3" t="s">
        <v>13</v>
      </c>
      <c r="O41" s="31">
        <v>5810</v>
      </c>
      <c r="P41" s="31">
        <v>27350</v>
      </c>
      <c r="Q41" s="31">
        <f>P41+O41</f>
        <v>33160</v>
      </c>
      <c r="R41" s="2">
        <v>6540</v>
      </c>
      <c r="S41" s="31" t="s">
        <v>28</v>
      </c>
      <c r="T41" s="17">
        <v>6540</v>
      </c>
      <c r="U41" s="18"/>
      <c r="V41" s="17">
        <f>SUM(T41)</f>
        <v>6540</v>
      </c>
      <c r="W41" s="2">
        <f>H41+R41</f>
        <v>209160</v>
      </c>
      <c r="X41" s="2">
        <f>H41+R41+T41</f>
        <v>215700</v>
      </c>
      <c r="Y41" s="2">
        <f t="shared" si="14"/>
        <v>222240</v>
      </c>
      <c r="Z41" s="24" t="s">
        <v>65</v>
      </c>
    </row>
    <row r="42" spans="2:26" ht="22.5" customHeight="1">
      <c r="B42" s="93">
        <v>17</v>
      </c>
      <c r="C42" s="37" t="s">
        <v>68</v>
      </c>
      <c r="D42" s="38" t="s">
        <v>75</v>
      </c>
      <c r="E42" s="24">
        <v>1</v>
      </c>
      <c r="F42" s="24" t="s">
        <v>13</v>
      </c>
      <c r="G42" s="30">
        <f>59970+99930</f>
        <v>159900</v>
      </c>
      <c r="H42" s="2">
        <v>202620</v>
      </c>
      <c r="I42" s="1">
        <v>1</v>
      </c>
      <c r="J42" s="1">
        <v>1</v>
      </c>
      <c r="K42" s="1">
        <v>1</v>
      </c>
      <c r="L42" s="3" t="s">
        <v>13</v>
      </c>
      <c r="M42" s="3" t="s">
        <v>13</v>
      </c>
      <c r="N42" s="3" t="s">
        <v>13</v>
      </c>
      <c r="O42" s="31">
        <v>5810</v>
      </c>
      <c r="P42" s="31">
        <v>27350</v>
      </c>
      <c r="Q42" s="31">
        <f>P42+O42</f>
        <v>33160</v>
      </c>
      <c r="R42" s="2">
        <v>6540</v>
      </c>
      <c r="S42" s="31" t="s">
        <v>28</v>
      </c>
      <c r="T42" s="17">
        <v>6540</v>
      </c>
      <c r="U42" s="18"/>
      <c r="V42" s="17">
        <f>SUM(T42)</f>
        <v>6540</v>
      </c>
      <c r="W42" s="2">
        <f>H42+R42</f>
        <v>209160</v>
      </c>
      <c r="X42" s="2">
        <f>H42+R42+T42</f>
        <v>215700</v>
      </c>
      <c r="Y42" s="2">
        <f t="shared" si="14"/>
        <v>222240</v>
      </c>
      <c r="Z42" s="24" t="s">
        <v>65</v>
      </c>
    </row>
    <row r="43" spans="2:26" ht="22.5" customHeight="1">
      <c r="B43" s="29">
        <v>18</v>
      </c>
      <c r="C43" s="37" t="s">
        <v>69</v>
      </c>
      <c r="D43" s="38" t="s">
        <v>75</v>
      </c>
      <c r="E43" s="24">
        <v>1</v>
      </c>
      <c r="F43" s="24" t="s">
        <v>13</v>
      </c>
      <c r="G43" s="24" t="s">
        <v>13</v>
      </c>
      <c r="H43" s="2">
        <v>0</v>
      </c>
      <c r="I43" s="24" t="s">
        <v>13</v>
      </c>
      <c r="J43" s="24" t="s">
        <v>13</v>
      </c>
      <c r="K43" s="24" t="s">
        <v>13</v>
      </c>
      <c r="L43" s="24" t="s">
        <v>13</v>
      </c>
      <c r="M43" s="24" t="s">
        <v>13</v>
      </c>
      <c r="N43" s="24" t="s">
        <v>13</v>
      </c>
      <c r="O43" s="24" t="s">
        <v>13</v>
      </c>
      <c r="P43" s="24" t="s">
        <v>13</v>
      </c>
      <c r="Q43" s="24" t="s">
        <v>13</v>
      </c>
      <c r="R43" s="24" t="s">
        <v>13</v>
      </c>
      <c r="S43" s="24" t="s">
        <v>13</v>
      </c>
      <c r="T43" s="24" t="s">
        <v>13</v>
      </c>
      <c r="U43" s="24" t="s">
        <v>13</v>
      </c>
      <c r="V43" s="24" t="s">
        <v>13</v>
      </c>
      <c r="W43" s="24" t="s">
        <v>13</v>
      </c>
      <c r="X43" s="24" t="s">
        <v>13</v>
      </c>
      <c r="Y43" s="24" t="s">
        <v>13</v>
      </c>
      <c r="Z43" s="24" t="s">
        <v>101</v>
      </c>
    </row>
    <row r="44" spans="2:26" ht="22.5" customHeight="1">
      <c r="B44" s="29"/>
      <c r="C44" s="56" t="s">
        <v>26</v>
      </c>
      <c r="D44" s="57"/>
      <c r="E44" s="24"/>
      <c r="F44" s="24"/>
      <c r="G44" s="30"/>
      <c r="H44" s="2"/>
      <c r="I44" s="1"/>
      <c r="J44" s="1"/>
      <c r="K44" s="1"/>
      <c r="L44" s="39"/>
      <c r="M44" s="2"/>
      <c r="N44" s="2"/>
      <c r="O44" s="31"/>
      <c r="P44" s="31"/>
      <c r="Q44" s="31"/>
      <c r="R44" s="2"/>
      <c r="S44" s="31"/>
      <c r="T44" s="2"/>
      <c r="U44" s="31"/>
      <c r="V44" s="2"/>
      <c r="W44" s="2" t="s">
        <v>18</v>
      </c>
      <c r="X44" s="2" t="s">
        <v>18</v>
      </c>
      <c r="Y44" s="2" t="s">
        <v>18</v>
      </c>
      <c r="Z44" s="24"/>
    </row>
    <row r="45" spans="2:26" ht="22.5" customHeight="1">
      <c r="B45" s="29"/>
      <c r="C45" s="56" t="s">
        <v>22</v>
      </c>
      <c r="D45" s="57"/>
      <c r="E45" s="24"/>
      <c r="F45" s="24"/>
      <c r="G45" s="30"/>
      <c r="H45" s="2"/>
      <c r="I45" s="1"/>
      <c r="J45" s="1"/>
      <c r="K45" s="1"/>
      <c r="L45" s="39"/>
      <c r="M45" s="2"/>
      <c r="N45" s="2"/>
      <c r="O45" s="31"/>
      <c r="P45" s="31"/>
      <c r="Q45" s="31"/>
      <c r="R45" s="2"/>
      <c r="S45" s="31"/>
      <c r="T45" s="2"/>
      <c r="U45" s="31"/>
      <c r="V45" s="2"/>
      <c r="W45" s="2" t="s">
        <v>18</v>
      </c>
      <c r="X45" s="2" t="s">
        <v>18</v>
      </c>
      <c r="Y45" s="2" t="s">
        <v>18</v>
      </c>
      <c r="Z45" s="24"/>
    </row>
    <row r="46" spans="2:26" ht="22.5" customHeight="1">
      <c r="B46" s="29">
        <v>19</v>
      </c>
      <c r="C46" s="25" t="s">
        <v>111</v>
      </c>
      <c r="D46" s="57"/>
      <c r="E46" s="24">
        <v>1</v>
      </c>
      <c r="F46" s="24">
        <v>1</v>
      </c>
      <c r="G46" s="30">
        <f>13150*12</f>
        <v>157800</v>
      </c>
      <c r="H46" s="2">
        <f>15260*12</f>
        <v>183120</v>
      </c>
      <c r="I46" s="1">
        <v>1</v>
      </c>
      <c r="J46" s="1">
        <v>1</v>
      </c>
      <c r="K46" s="1">
        <v>1</v>
      </c>
      <c r="L46" s="39" t="s">
        <v>13</v>
      </c>
      <c r="M46" s="2" t="s">
        <v>13</v>
      </c>
      <c r="N46" s="2" t="s">
        <v>13</v>
      </c>
      <c r="O46" s="31">
        <f>9910+1650</f>
        <v>11560</v>
      </c>
      <c r="P46" s="31">
        <f>O46*4%</f>
        <v>462.40000000000003</v>
      </c>
      <c r="Q46" s="31" t="s">
        <v>55</v>
      </c>
      <c r="R46" s="2">
        <v>7320</v>
      </c>
      <c r="S46" s="31" t="s">
        <v>56</v>
      </c>
      <c r="T46" s="2">
        <v>7680</v>
      </c>
      <c r="U46" s="31" t="s">
        <v>30</v>
      </c>
      <c r="V46" s="2">
        <v>7920</v>
      </c>
      <c r="W46" s="2">
        <f t="shared" ref="W46" si="15">H46+R46</f>
        <v>190440</v>
      </c>
      <c r="X46" s="2">
        <f t="shared" si="13"/>
        <v>198120</v>
      </c>
      <c r="Y46" s="2">
        <f t="shared" si="14"/>
        <v>206040</v>
      </c>
      <c r="Z46" s="2">
        <v>15260</v>
      </c>
    </row>
    <row r="47" spans="2:26" ht="22.5" customHeight="1">
      <c r="B47" s="29">
        <v>20</v>
      </c>
      <c r="C47" s="25" t="s">
        <v>112</v>
      </c>
      <c r="D47" s="57"/>
      <c r="E47" s="24">
        <v>1</v>
      </c>
      <c r="F47" s="24">
        <v>1</v>
      </c>
      <c r="G47" s="30"/>
      <c r="H47" s="2">
        <f>10890*12</f>
        <v>130680</v>
      </c>
      <c r="I47" s="1">
        <v>1</v>
      </c>
      <c r="J47" s="1">
        <v>1</v>
      </c>
      <c r="K47" s="1">
        <v>1</v>
      </c>
      <c r="L47" s="39" t="s">
        <v>13</v>
      </c>
      <c r="M47" s="2" t="s">
        <v>13</v>
      </c>
      <c r="N47" s="2" t="s">
        <v>13</v>
      </c>
      <c r="O47" s="210"/>
      <c r="P47" s="210"/>
      <c r="Q47" s="210"/>
      <c r="R47" s="2">
        <v>5280</v>
      </c>
      <c r="S47" s="31" t="s">
        <v>57</v>
      </c>
      <c r="T47" s="2">
        <v>5520</v>
      </c>
      <c r="U47" s="31" t="s">
        <v>35</v>
      </c>
      <c r="V47" s="2">
        <v>5760</v>
      </c>
      <c r="W47" s="2">
        <f>H47+R47</f>
        <v>135960</v>
      </c>
      <c r="X47" s="2">
        <f>H47+R47+T47</f>
        <v>141480</v>
      </c>
      <c r="Y47" s="2">
        <f>H47+R47+T47+V47</f>
        <v>147240</v>
      </c>
      <c r="Z47" s="2">
        <v>10890</v>
      </c>
    </row>
    <row r="48" spans="2:26" ht="22.5" customHeight="1">
      <c r="B48" s="29"/>
      <c r="C48" s="56" t="s">
        <v>24</v>
      </c>
      <c r="D48" s="57"/>
      <c r="E48" s="24"/>
      <c r="F48" s="24"/>
      <c r="G48" s="30"/>
      <c r="H48" s="2"/>
      <c r="I48" s="1"/>
      <c r="J48" s="1"/>
      <c r="K48" s="1"/>
      <c r="L48" s="39"/>
      <c r="M48" s="2"/>
      <c r="N48" s="2"/>
      <c r="O48" s="31"/>
      <c r="P48" s="31"/>
      <c r="Q48" s="31"/>
      <c r="R48" s="2"/>
      <c r="S48" s="31"/>
      <c r="T48" s="2"/>
      <c r="U48" s="31"/>
      <c r="V48" s="2"/>
      <c r="W48" s="2" t="s">
        <v>18</v>
      </c>
      <c r="X48" s="2" t="s">
        <v>18</v>
      </c>
      <c r="Y48" s="2" t="s">
        <v>18</v>
      </c>
      <c r="Z48" s="24"/>
    </row>
    <row r="49" spans="2:26" ht="23.25" customHeight="1">
      <c r="B49" s="29">
        <v>21</v>
      </c>
      <c r="C49" s="25" t="s">
        <v>44</v>
      </c>
      <c r="D49" s="57"/>
      <c r="E49" s="24">
        <v>1</v>
      </c>
      <c r="F49" s="24">
        <v>1</v>
      </c>
      <c r="G49" s="30" t="s">
        <v>18</v>
      </c>
      <c r="H49" s="2">
        <v>108000</v>
      </c>
      <c r="I49" s="100">
        <v>1</v>
      </c>
      <c r="J49" s="100">
        <v>1</v>
      </c>
      <c r="K49" s="100">
        <v>1</v>
      </c>
      <c r="L49" s="39" t="s">
        <v>13</v>
      </c>
      <c r="M49" s="2" t="s">
        <v>13</v>
      </c>
      <c r="N49" s="2" t="s">
        <v>13</v>
      </c>
      <c r="O49" s="212" t="s">
        <v>31</v>
      </c>
      <c r="P49" s="213"/>
      <c r="Q49" s="214"/>
      <c r="R49" s="2" t="s">
        <v>13</v>
      </c>
      <c r="S49" s="31" t="s">
        <v>32</v>
      </c>
      <c r="T49" s="2" t="s">
        <v>13</v>
      </c>
      <c r="U49" s="31" t="s">
        <v>33</v>
      </c>
      <c r="V49" s="2" t="s">
        <v>13</v>
      </c>
      <c r="W49" s="2">
        <f>SUM(H49)</f>
        <v>108000</v>
      </c>
      <c r="X49" s="2">
        <f>SUM(H49)</f>
        <v>108000</v>
      </c>
      <c r="Y49" s="2">
        <f>SUM(H49)</f>
        <v>108000</v>
      </c>
      <c r="Z49" s="24" t="s">
        <v>18</v>
      </c>
    </row>
    <row r="50" spans="2:26" ht="20.25" customHeight="1">
      <c r="B50" s="29"/>
      <c r="C50" s="56" t="s">
        <v>27</v>
      </c>
      <c r="D50" s="57"/>
      <c r="E50" s="24"/>
      <c r="F50" s="24"/>
      <c r="G50" s="30"/>
      <c r="H50" s="2"/>
      <c r="I50" s="1"/>
      <c r="J50" s="1"/>
      <c r="K50" s="1"/>
      <c r="L50" s="39"/>
      <c r="M50" s="2"/>
      <c r="N50" s="2"/>
      <c r="O50" s="31"/>
      <c r="P50" s="31"/>
      <c r="Q50" s="31"/>
      <c r="R50" s="2"/>
      <c r="S50" s="31"/>
      <c r="T50" s="2"/>
      <c r="U50" s="31"/>
      <c r="V50" s="2"/>
      <c r="W50" s="2" t="s">
        <v>18</v>
      </c>
      <c r="X50" s="2" t="s">
        <v>18</v>
      </c>
      <c r="Y50" s="2" t="s">
        <v>18</v>
      </c>
      <c r="Z50" s="24"/>
    </row>
    <row r="51" spans="2:26" ht="22.5" customHeight="1">
      <c r="B51" s="29">
        <v>22</v>
      </c>
      <c r="C51" s="25" t="s">
        <v>97</v>
      </c>
      <c r="D51" s="24" t="s">
        <v>71</v>
      </c>
      <c r="E51" s="24">
        <v>1</v>
      </c>
      <c r="F51" s="24">
        <v>1</v>
      </c>
      <c r="G51" s="30">
        <f>25970*12+3500*12</f>
        <v>353640</v>
      </c>
      <c r="H51" s="2">
        <f>28030*12+3500*12</f>
        <v>378360</v>
      </c>
      <c r="I51" s="1">
        <v>1</v>
      </c>
      <c r="J51" s="1">
        <v>1</v>
      </c>
      <c r="K51" s="1">
        <v>1</v>
      </c>
      <c r="L51" s="39" t="s">
        <v>13</v>
      </c>
      <c r="M51" s="2" t="s">
        <v>13</v>
      </c>
      <c r="N51" s="2" t="s">
        <v>13</v>
      </c>
      <c r="O51" s="31">
        <v>22620</v>
      </c>
      <c r="P51" s="31">
        <v>23550</v>
      </c>
      <c r="Q51" s="31">
        <f>P51-O51</f>
        <v>930</v>
      </c>
      <c r="R51" s="2">
        <v>12960</v>
      </c>
      <c r="S51" s="31">
        <f>500+490*12</f>
        <v>6380</v>
      </c>
      <c r="T51" s="2">
        <v>13320</v>
      </c>
      <c r="U51" s="31">
        <f>1020*12</f>
        <v>12240</v>
      </c>
      <c r="V51" s="2">
        <v>13440</v>
      </c>
      <c r="W51" s="2">
        <f>H51+R51</f>
        <v>391320</v>
      </c>
      <c r="X51" s="2">
        <f t="shared" si="13"/>
        <v>404640</v>
      </c>
      <c r="Y51" s="2">
        <f t="shared" si="14"/>
        <v>418080</v>
      </c>
      <c r="Z51" s="2">
        <v>28030</v>
      </c>
    </row>
    <row r="52" spans="2:26" ht="22.5" customHeight="1">
      <c r="B52" s="29">
        <v>23</v>
      </c>
      <c r="C52" s="25" t="s">
        <v>66</v>
      </c>
      <c r="D52" s="38" t="s">
        <v>75</v>
      </c>
      <c r="E52" s="24">
        <v>1</v>
      </c>
      <c r="F52" s="24" t="s">
        <v>13</v>
      </c>
      <c r="G52" s="30">
        <f>59970+99930</f>
        <v>159900</v>
      </c>
      <c r="H52" s="2">
        <v>202620</v>
      </c>
      <c r="I52" s="1">
        <v>1</v>
      </c>
      <c r="J52" s="1">
        <v>1</v>
      </c>
      <c r="K52" s="1">
        <v>1</v>
      </c>
      <c r="L52" s="39" t="s">
        <v>13</v>
      </c>
      <c r="M52" s="2" t="s">
        <v>13</v>
      </c>
      <c r="N52" s="2" t="s">
        <v>13</v>
      </c>
      <c r="O52" s="31">
        <v>5810</v>
      </c>
      <c r="P52" s="31">
        <v>27350</v>
      </c>
      <c r="Q52" s="31">
        <f>P52+O52</f>
        <v>33160</v>
      </c>
      <c r="R52" s="2">
        <v>6540</v>
      </c>
      <c r="S52" s="31" t="s">
        <v>28</v>
      </c>
      <c r="T52" s="17">
        <v>6540</v>
      </c>
      <c r="U52" s="18"/>
      <c r="V52" s="17">
        <f>SUM(T52)</f>
        <v>6540</v>
      </c>
      <c r="W52" s="2">
        <f>H52+R52</f>
        <v>209160</v>
      </c>
      <c r="X52" s="2">
        <f>H52+R52+T52</f>
        <v>215700</v>
      </c>
      <c r="Y52" s="2">
        <f t="shared" si="14"/>
        <v>222240</v>
      </c>
      <c r="Z52" s="24" t="s">
        <v>65</v>
      </c>
    </row>
    <row r="53" spans="2:26" ht="22.5" customHeight="1">
      <c r="B53" s="29">
        <v>24</v>
      </c>
      <c r="C53" s="25" t="s">
        <v>76</v>
      </c>
      <c r="D53" s="38" t="s">
        <v>75</v>
      </c>
      <c r="E53" s="24">
        <v>1</v>
      </c>
      <c r="F53" s="24" t="s">
        <v>13</v>
      </c>
      <c r="G53" s="30">
        <f>59970+99930</f>
        <v>159900</v>
      </c>
      <c r="H53" s="2">
        <v>202620</v>
      </c>
      <c r="I53" s="1">
        <v>1</v>
      </c>
      <c r="J53" s="1">
        <v>1</v>
      </c>
      <c r="K53" s="1">
        <v>1</v>
      </c>
      <c r="L53" s="39" t="s">
        <v>13</v>
      </c>
      <c r="M53" s="2" t="s">
        <v>13</v>
      </c>
      <c r="N53" s="2" t="s">
        <v>13</v>
      </c>
      <c r="O53" s="31">
        <v>4870</v>
      </c>
      <c r="P53" s="31">
        <v>19480</v>
      </c>
      <c r="Q53" s="31">
        <f>P53+O53</f>
        <v>24350</v>
      </c>
      <c r="R53" s="2">
        <v>6540</v>
      </c>
      <c r="S53" s="31" t="s">
        <v>29</v>
      </c>
      <c r="T53" s="17">
        <v>6540</v>
      </c>
      <c r="U53" s="18"/>
      <c r="V53" s="17">
        <f>SUM(T53)</f>
        <v>6540</v>
      </c>
      <c r="W53" s="2">
        <f>H53+R53</f>
        <v>209160</v>
      </c>
      <c r="X53" s="2">
        <f>H53+R53+T53</f>
        <v>215700</v>
      </c>
      <c r="Y53" s="2">
        <f t="shared" si="14"/>
        <v>222240</v>
      </c>
      <c r="Z53" s="24" t="s">
        <v>65</v>
      </c>
    </row>
    <row r="54" spans="2:26" ht="22.5" customHeight="1">
      <c r="B54" s="29"/>
      <c r="C54" s="56" t="s">
        <v>21</v>
      </c>
      <c r="D54" s="57"/>
      <c r="E54" s="24"/>
      <c r="F54" s="24"/>
      <c r="G54" s="30"/>
      <c r="H54" s="2"/>
      <c r="I54" s="1"/>
      <c r="J54" s="1"/>
      <c r="K54" s="1"/>
      <c r="L54" s="39"/>
      <c r="M54" s="2"/>
      <c r="N54" s="2"/>
      <c r="O54" s="31"/>
      <c r="P54" s="31"/>
      <c r="Q54" s="31"/>
      <c r="R54" s="2"/>
      <c r="S54" s="31"/>
      <c r="T54" s="2"/>
      <c r="U54" s="31"/>
      <c r="V54" s="2"/>
      <c r="W54" s="2" t="s">
        <v>18</v>
      </c>
      <c r="X54" s="2" t="s">
        <v>18</v>
      </c>
      <c r="Y54" s="2" t="s">
        <v>18</v>
      </c>
      <c r="Z54" s="24"/>
    </row>
    <row r="55" spans="2:26" ht="22.5" customHeight="1">
      <c r="B55" s="29"/>
      <c r="C55" s="56" t="s">
        <v>22</v>
      </c>
      <c r="D55" s="57"/>
      <c r="E55" s="24"/>
      <c r="F55" s="24"/>
      <c r="G55" s="30"/>
      <c r="H55" s="2"/>
      <c r="I55" s="1"/>
      <c r="J55" s="1"/>
      <c r="K55" s="1"/>
      <c r="L55" s="39"/>
      <c r="M55" s="2"/>
      <c r="N55" s="2"/>
      <c r="O55" s="31"/>
      <c r="P55" s="31"/>
      <c r="Q55" s="31"/>
      <c r="R55" s="2"/>
      <c r="S55" s="31"/>
      <c r="T55" s="2"/>
      <c r="U55" s="31"/>
      <c r="V55" s="2"/>
      <c r="W55" s="2" t="s">
        <v>18</v>
      </c>
      <c r="X55" s="2" t="s">
        <v>18</v>
      </c>
      <c r="Y55" s="2" t="s">
        <v>18</v>
      </c>
      <c r="Z55" s="24"/>
    </row>
    <row r="56" spans="2:26" ht="21" customHeight="1" thickBot="1">
      <c r="B56" s="60">
        <v>25</v>
      </c>
      <c r="C56" s="61" t="s">
        <v>113</v>
      </c>
      <c r="D56" s="62"/>
      <c r="E56" s="63">
        <v>1</v>
      </c>
      <c r="F56" s="63" t="s">
        <v>13</v>
      </c>
      <c r="G56" s="64">
        <f>9780*12</f>
        <v>117360</v>
      </c>
      <c r="H56" s="101">
        <f>11500*12</f>
        <v>138000</v>
      </c>
      <c r="I56" s="65">
        <v>1</v>
      </c>
      <c r="J56" s="65">
        <v>1</v>
      </c>
      <c r="K56" s="65">
        <v>1</v>
      </c>
      <c r="L56" s="169" t="s">
        <v>13</v>
      </c>
      <c r="M56" s="66" t="s">
        <v>13</v>
      </c>
      <c r="N56" s="66" t="s">
        <v>13</v>
      </c>
      <c r="O56" s="215" t="s">
        <v>53</v>
      </c>
      <c r="P56" s="215"/>
      <c r="Q56" s="215"/>
      <c r="R56" s="66">
        <v>0</v>
      </c>
      <c r="S56" s="102" t="s">
        <v>54</v>
      </c>
      <c r="T56" s="101">
        <v>5520</v>
      </c>
      <c r="U56" s="102" t="s">
        <v>35</v>
      </c>
      <c r="V56" s="101">
        <v>5760</v>
      </c>
      <c r="W56" s="66">
        <f t="shared" ref="W56" si="16">H56+R56</f>
        <v>138000</v>
      </c>
      <c r="X56" s="66">
        <f t="shared" si="13"/>
        <v>143520</v>
      </c>
      <c r="Y56" s="66">
        <f t="shared" si="14"/>
        <v>149280</v>
      </c>
      <c r="Z56" s="63" t="s">
        <v>121</v>
      </c>
    </row>
    <row r="57" spans="2:26" ht="32.25" customHeight="1">
      <c r="B57" s="69"/>
      <c r="C57" s="70"/>
      <c r="D57" s="71"/>
      <c r="E57" s="72"/>
      <c r="F57" s="72"/>
      <c r="G57" s="73"/>
      <c r="H57" s="75"/>
      <c r="I57" s="74"/>
      <c r="J57" s="74"/>
      <c r="K57" s="74"/>
      <c r="L57" s="103"/>
      <c r="M57" s="75"/>
      <c r="N57" s="75"/>
      <c r="O57" s="76"/>
      <c r="P57" s="76"/>
      <c r="Q57" s="76"/>
      <c r="R57" s="75"/>
      <c r="S57" s="76"/>
      <c r="T57" s="75"/>
      <c r="U57" s="76"/>
      <c r="V57" s="75"/>
      <c r="W57" s="75"/>
      <c r="X57" s="75"/>
      <c r="Y57" s="75"/>
      <c r="Z57" s="72"/>
    </row>
    <row r="58" spans="2:26" ht="16.5" customHeight="1">
      <c r="B58" s="69"/>
      <c r="C58" s="70"/>
      <c r="D58" s="71"/>
      <c r="E58" s="72"/>
      <c r="F58" s="72"/>
      <c r="G58" s="73"/>
      <c r="H58" s="75"/>
      <c r="I58" s="74"/>
      <c r="J58" s="74"/>
      <c r="K58" s="74"/>
      <c r="L58" s="103"/>
      <c r="M58" s="75"/>
      <c r="N58" s="75"/>
      <c r="O58" s="76"/>
      <c r="P58" s="76"/>
      <c r="Q58" s="76"/>
      <c r="R58" s="75"/>
      <c r="S58" s="76"/>
      <c r="T58" s="75"/>
      <c r="U58" s="76"/>
      <c r="V58" s="75"/>
      <c r="W58" s="75"/>
      <c r="X58" s="75"/>
      <c r="Y58" s="75"/>
      <c r="Z58" s="72"/>
    </row>
    <row r="59" spans="2:26" s="83" customFormat="1" ht="30" customHeight="1" thickBot="1">
      <c r="B59" s="104"/>
      <c r="C59" s="105"/>
      <c r="D59" s="106"/>
      <c r="E59" s="107"/>
      <c r="F59" s="107"/>
      <c r="G59" s="108"/>
      <c r="H59" s="109"/>
      <c r="I59" s="106"/>
      <c r="J59" s="106"/>
      <c r="K59" s="106"/>
      <c r="L59" s="110"/>
      <c r="M59" s="110"/>
      <c r="N59" s="110"/>
      <c r="O59" s="111"/>
      <c r="P59" s="111"/>
      <c r="Q59" s="111"/>
      <c r="R59" s="109"/>
      <c r="S59" s="111"/>
      <c r="T59" s="109"/>
      <c r="U59" s="111"/>
      <c r="V59" s="109"/>
      <c r="W59" s="109"/>
      <c r="X59" s="112"/>
      <c r="Y59" s="112"/>
      <c r="Z59" s="113" t="s">
        <v>18</v>
      </c>
    </row>
    <row r="60" spans="2:26" s="47" customFormat="1" ht="24.75" customHeight="1">
      <c r="B60" s="171" t="s">
        <v>61</v>
      </c>
      <c r="C60" s="171" t="s">
        <v>0</v>
      </c>
      <c r="D60" s="171" t="s">
        <v>1</v>
      </c>
      <c r="E60" s="171" t="s">
        <v>2</v>
      </c>
      <c r="F60" s="186" t="s">
        <v>3</v>
      </c>
      <c r="G60" s="187"/>
      <c r="H60" s="188"/>
      <c r="I60" s="195" t="s">
        <v>4</v>
      </c>
      <c r="J60" s="196"/>
      <c r="K60" s="197"/>
      <c r="L60" s="204" t="s">
        <v>5</v>
      </c>
      <c r="M60" s="205"/>
      <c r="N60" s="206"/>
      <c r="O60" s="7"/>
      <c r="P60" s="7"/>
      <c r="Q60" s="7"/>
      <c r="R60" s="204" t="s">
        <v>7</v>
      </c>
      <c r="S60" s="205"/>
      <c r="T60" s="205"/>
      <c r="U60" s="205"/>
      <c r="V60" s="206"/>
      <c r="W60" s="186" t="s">
        <v>9</v>
      </c>
      <c r="X60" s="187"/>
      <c r="Y60" s="188"/>
      <c r="Z60" s="171" t="s">
        <v>10</v>
      </c>
    </row>
    <row r="61" spans="2:26" s="47" customFormat="1" ht="26.25" customHeight="1">
      <c r="B61" s="172"/>
      <c r="C61" s="172"/>
      <c r="D61" s="172"/>
      <c r="E61" s="172"/>
      <c r="F61" s="189"/>
      <c r="G61" s="190"/>
      <c r="H61" s="191"/>
      <c r="I61" s="198"/>
      <c r="J61" s="199"/>
      <c r="K61" s="200"/>
      <c r="L61" s="174" t="s">
        <v>6</v>
      </c>
      <c r="M61" s="175"/>
      <c r="N61" s="176"/>
      <c r="O61" s="8"/>
      <c r="P61" s="8"/>
      <c r="Q61" s="8"/>
      <c r="R61" s="174" t="s">
        <v>8</v>
      </c>
      <c r="S61" s="177"/>
      <c r="T61" s="175"/>
      <c r="U61" s="175"/>
      <c r="V61" s="176"/>
      <c r="W61" s="189"/>
      <c r="X61" s="190"/>
      <c r="Y61" s="191"/>
      <c r="Z61" s="172"/>
    </row>
    <row r="62" spans="2:26" s="47" customFormat="1" ht="30.75" customHeight="1" thickBot="1">
      <c r="B62" s="172"/>
      <c r="C62" s="172"/>
      <c r="D62" s="172"/>
      <c r="E62" s="172"/>
      <c r="F62" s="192"/>
      <c r="G62" s="193"/>
      <c r="H62" s="194"/>
      <c r="I62" s="201"/>
      <c r="J62" s="202"/>
      <c r="K62" s="203"/>
      <c r="L62" s="178"/>
      <c r="M62" s="179"/>
      <c r="N62" s="180"/>
      <c r="O62" s="9"/>
      <c r="P62" s="9"/>
      <c r="Q62" s="9"/>
      <c r="R62" s="181"/>
      <c r="S62" s="182"/>
      <c r="T62" s="182"/>
      <c r="U62" s="182"/>
      <c r="V62" s="183"/>
      <c r="W62" s="192"/>
      <c r="X62" s="193"/>
      <c r="Y62" s="194"/>
      <c r="Z62" s="172"/>
    </row>
    <row r="63" spans="2:26" s="47" customFormat="1" ht="25.5" customHeight="1">
      <c r="B63" s="172"/>
      <c r="C63" s="172"/>
      <c r="D63" s="172"/>
      <c r="E63" s="172"/>
      <c r="F63" s="10" t="s">
        <v>11</v>
      </c>
      <c r="G63" s="11"/>
      <c r="H63" s="171" t="s">
        <v>41</v>
      </c>
      <c r="I63" s="184">
        <v>2561</v>
      </c>
      <c r="J63" s="184">
        <v>2562</v>
      </c>
      <c r="K63" s="184">
        <v>2563</v>
      </c>
      <c r="L63" s="171">
        <v>2561</v>
      </c>
      <c r="M63" s="171">
        <v>2562</v>
      </c>
      <c r="N63" s="171">
        <v>2560</v>
      </c>
      <c r="O63" s="5" t="s">
        <v>19</v>
      </c>
      <c r="P63" s="5" t="s">
        <v>20</v>
      </c>
      <c r="Q63" s="5"/>
      <c r="R63" s="171">
        <v>2561</v>
      </c>
      <c r="S63" s="5"/>
      <c r="T63" s="171">
        <v>2562</v>
      </c>
      <c r="U63" s="5"/>
      <c r="V63" s="171">
        <v>2563</v>
      </c>
      <c r="W63" s="171">
        <v>2561</v>
      </c>
      <c r="X63" s="171">
        <v>2562</v>
      </c>
      <c r="Y63" s="171">
        <v>2563</v>
      </c>
      <c r="Z63" s="172"/>
    </row>
    <row r="64" spans="2:26" s="47" customFormat="1" ht="20.25" thickBot="1">
      <c r="B64" s="173"/>
      <c r="C64" s="173"/>
      <c r="D64" s="173"/>
      <c r="E64" s="173"/>
      <c r="F64" s="12" t="s">
        <v>12</v>
      </c>
      <c r="G64" s="13"/>
      <c r="H64" s="173"/>
      <c r="I64" s="185"/>
      <c r="J64" s="185"/>
      <c r="K64" s="185"/>
      <c r="L64" s="173"/>
      <c r="M64" s="173"/>
      <c r="N64" s="173"/>
      <c r="O64" s="6"/>
      <c r="P64" s="6"/>
      <c r="Q64" s="6"/>
      <c r="R64" s="173"/>
      <c r="S64" s="6"/>
      <c r="T64" s="173"/>
      <c r="U64" s="6"/>
      <c r="V64" s="173"/>
      <c r="W64" s="173"/>
      <c r="X64" s="173"/>
      <c r="Y64" s="173"/>
      <c r="Z64" s="173"/>
    </row>
    <row r="65" spans="2:26" ht="21" customHeight="1">
      <c r="B65" s="28">
        <v>26</v>
      </c>
      <c r="C65" s="27" t="s">
        <v>114</v>
      </c>
      <c r="D65" s="114"/>
      <c r="E65" s="115">
        <v>1</v>
      </c>
      <c r="F65" s="115">
        <v>1</v>
      </c>
      <c r="G65" s="116">
        <f>10910*12</f>
        <v>130920</v>
      </c>
      <c r="H65" s="117">
        <f>11350*12</f>
        <v>136200</v>
      </c>
      <c r="I65" s="114">
        <v>1</v>
      </c>
      <c r="J65" s="114">
        <v>1</v>
      </c>
      <c r="K65" s="114">
        <v>1</v>
      </c>
      <c r="L65" s="118" t="s">
        <v>13</v>
      </c>
      <c r="M65" s="118" t="s">
        <v>13</v>
      </c>
      <c r="N65" s="118" t="s">
        <v>13</v>
      </c>
      <c r="O65" s="216" t="s">
        <v>53</v>
      </c>
      <c r="P65" s="217"/>
      <c r="Q65" s="218"/>
      <c r="R65" s="117">
        <v>5520</v>
      </c>
      <c r="S65" s="119" t="s">
        <v>54</v>
      </c>
      <c r="T65" s="117">
        <v>5760</v>
      </c>
      <c r="U65" s="119" t="s">
        <v>35</v>
      </c>
      <c r="V65" s="117">
        <v>6000</v>
      </c>
      <c r="W65" s="117">
        <f t="shared" ref="W65" si="17">H65+R65</f>
        <v>141720</v>
      </c>
      <c r="X65" s="120">
        <f t="shared" ref="X65" si="18">H65+R65+T65</f>
        <v>147480</v>
      </c>
      <c r="Y65" s="120">
        <f t="shared" ref="Y65" si="19">H65+R65+T65+V65</f>
        <v>153480</v>
      </c>
      <c r="Z65" s="48"/>
    </row>
    <row r="66" spans="2:26" ht="21" customHeight="1">
      <c r="B66" s="29">
        <v>27</v>
      </c>
      <c r="C66" s="25" t="s">
        <v>110</v>
      </c>
      <c r="D66" s="44"/>
      <c r="E66" s="41">
        <v>1</v>
      </c>
      <c r="F66" s="41">
        <v>1</v>
      </c>
      <c r="G66" s="43"/>
      <c r="H66" s="4">
        <f>10690*12</f>
        <v>128280</v>
      </c>
      <c r="I66" s="44">
        <v>1</v>
      </c>
      <c r="J66" s="44">
        <v>1</v>
      </c>
      <c r="K66" s="44">
        <v>1</v>
      </c>
      <c r="L66" s="33" t="s">
        <v>13</v>
      </c>
      <c r="M66" s="33" t="s">
        <v>13</v>
      </c>
      <c r="N66" s="33" t="s">
        <v>13</v>
      </c>
      <c r="O66" s="212"/>
      <c r="P66" s="213"/>
      <c r="Q66" s="214"/>
      <c r="R66" s="2">
        <v>5160</v>
      </c>
      <c r="S66" s="31" t="s">
        <v>57</v>
      </c>
      <c r="T66" s="2">
        <v>5400</v>
      </c>
      <c r="U66" s="31" t="s">
        <v>35</v>
      </c>
      <c r="V66" s="2">
        <v>5640</v>
      </c>
      <c r="W66" s="2">
        <f>H66+R66</f>
        <v>133440</v>
      </c>
      <c r="X66" s="2">
        <f>H66+R66+T66</f>
        <v>138840</v>
      </c>
      <c r="Y66" s="2">
        <f>H66+R66+T66+V66</f>
        <v>144480</v>
      </c>
      <c r="Z66" s="24"/>
    </row>
    <row r="67" spans="2:26" ht="22.5" customHeight="1">
      <c r="B67" s="29"/>
      <c r="C67" s="56" t="s">
        <v>79</v>
      </c>
      <c r="D67" s="44"/>
      <c r="E67" s="41"/>
      <c r="F67" s="41"/>
      <c r="G67" s="43"/>
      <c r="H67" s="4"/>
      <c r="I67" s="4"/>
      <c r="J67" s="4"/>
      <c r="K67" s="4"/>
      <c r="L67" s="33"/>
      <c r="M67" s="33"/>
      <c r="N67" s="33"/>
      <c r="O67" s="34"/>
      <c r="P67" s="34"/>
      <c r="Q67" s="34"/>
      <c r="R67" s="4"/>
      <c r="S67" s="32"/>
      <c r="T67" s="33"/>
      <c r="U67" s="34"/>
      <c r="V67" s="4"/>
      <c r="W67" s="35" t="s">
        <v>18</v>
      </c>
      <c r="X67" s="36" t="s">
        <v>18</v>
      </c>
      <c r="Y67" s="36" t="s">
        <v>18</v>
      </c>
      <c r="Z67" s="24"/>
    </row>
    <row r="68" spans="2:26" ht="22.5" customHeight="1">
      <c r="B68" s="29">
        <v>28</v>
      </c>
      <c r="C68" s="42" t="s">
        <v>115</v>
      </c>
      <c r="D68" s="41" t="s">
        <v>71</v>
      </c>
      <c r="E68" s="41">
        <v>1</v>
      </c>
      <c r="F68" s="41">
        <v>1</v>
      </c>
      <c r="G68" s="43">
        <f>26580*6+26980*6+3500*12</f>
        <v>363360</v>
      </c>
      <c r="H68" s="4">
        <f>29110*12+3500*12</f>
        <v>391320</v>
      </c>
      <c r="I68" s="44">
        <v>1</v>
      </c>
      <c r="J68" s="44">
        <v>1</v>
      </c>
      <c r="K68" s="44">
        <v>1</v>
      </c>
      <c r="L68" s="33" t="s">
        <v>13</v>
      </c>
      <c r="M68" s="33" t="s">
        <v>13</v>
      </c>
      <c r="N68" s="33" t="s">
        <v>13</v>
      </c>
      <c r="O68" s="34"/>
      <c r="P68" s="34"/>
      <c r="Q68" s="34"/>
      <c r="R68" s="4">
        <v>13320</v>
      </c>
      <c r="S68" s="32">
        <f>520+500*12</f>
        <v>6520</v>
      </c>
      <c r="T68" s="33">
        <v>13440</v>
      </c>
      <c r="U68" s="34">
        <f>1080*12</f>
        <v>12960</v>
      </c>
      <c r="V68" s="4">
        <v>13320</v>
      </c>
      <c r="W68" s="35">
        <f>H68+R68</f>
        <v>404640</v>
      </c>
      <c r="X68" s="36">
        <f t="shared" ref="X68" si="20">H68+R68+T68</f>
        <v>418080</v>
      </c>
      <c r="Y68" s="36">
        <f t="shared" ref="Y68" si="21">H68+R68+T68+V68</f>
        <v>431400</v>
      </c>
      <c r="Z68" s="2">
        <v>29110</v>
      </c>
    </row>
    <row r="69" spans="2:26" ht="21" customHeight="1">
      <c r="B69" s="29">
        <v>29</v>
      </c>
      <c r="C69" s="25" t="s">
        <v>64</v>
      </c>
      <c r="D69" s="41" t="s">
        <v>73</v>
      </c>
      <c r="E69" s="41">
        <v>1</v>
      </c>
      <c r="F69" s="41" t="s">
        <v>13</v>
      </c>
      <c r="G69" s="43">
        <f>7140+21420*6/2+9740+30020*6/2</f>
        <v>171200</v>
      </c>
      <c r="H69" s="33" t="s">
        <v>13</v>
      </c>
      <c r="I69" s="41" t="s">
        <v>13</v>
      </c>
      <c r="J69" s="41" t="s">
        <v>13</v>
      </c>
      <c r="K69" s="41" t="s">
        <v>13</v>
      </c>
      <c r="L69" s="33" t="s">
        <v>13</v>
      </c>
      <c r="M69" s="33" t="s">
        <v>13</v>
      </c>
      <c r="N69" s="33" t="s">
        <v>13</v>
      </c>
      <c r="O69" s="34">
        <v>5550</v>
      </c>
      <c r="P69" s="34">
        <v>6810</v>
      </c>
      <c r="Q69" s="34">
        <f>P69+O69</f>
        <v>12360</v>
      </c>
      <c r="R69" s="33" t="s">
        <v>13</v>
      </c>
      <c r="S69" s="34" t="s">
        <v>94</v>
      </c>
      <c r="T69" s="33" t="s">
        <v>13</v>
      </c>
      <c r="U69" s="34">
        <f>26120-25190</f>
        <v>930</v>
      </c>
      <c r="V69" s="33" t="s">
        <v>13</v>
      </c>
      <c r="W69" s="33" t="s">
        <v>13</v>
      </c>
      <c r="X69" s="45" t="s">
        <v>13</v>
      </c>
      <c r="Y69" s="45" t="s">
        <v>13</v>
      </c>
      <c r="Z69" s="24" t="s">
        <v>101</v>
      </c>
    </row>
    <row r="70" spans="2:26" ht="21" customHeight="1">
      <c r="B70" s="29">
        <v>30</v>
      </c>
      <c r="C70" s="25" t="s">
        <v>77</v>
      </c>
      <c r="D70" s="40" t="s">
        <v>75</v>
      </c>
      <c r="E70" s="41">
        <v>1</v>
      </c>
      <c r="F70" s="41" t="s">
        <v>13</v>
      </c>
      <c r="G70" s="30">
        <f>59970+99930</f>
        <v>159900</v>
      </c>
      <c r="H70" s="2">
        <v>202620</v>
      </c>
      <c r="I70" s="1">
        <v>1</v>
      </c>
      <c r="J70" s="1">
        <v>1</v>
      </c>
      <c r="K70" s="1">
        <v>1</v>
      </c>
      <c r="L70" s="39" t="s">
        <v>13</v>
      </c>
      <c r="M70" s="2" t="s">
        <v>13</v>
      </c>
      <c r="N70" s="2" t="s">
        <v>13</v>
      </c>
      <c r="O70" s="31">
        <v>4870</v>
      </c>
      <c r="P70" s="31">
        <v>19480</v>
      </c>
      <c r="Q70" s="31">
        <f>P70+O70</f>
        <v>24350</v>
      </c>
      <c r="R70" s="2">
        <v>6540</v>
      </c>
      <c r="S70" s="31" t="s">
        <v>29</v>
      </c>
      <c r="T70" s="17">
        <v>6540</v>
      </c>
      <c r="U70" s="18"/>
      <c r="V70" s="17">
        <f>SUM(T70)</f>
        <v>6540</v>
      </c>
      <c r="W70" s="2">
        <f>H70+R70</f>
        <v>209160</v>
      </c>
      <c r="X70" s="2">
        <f>H70+R70+T70</f>
        <v>215700</v>
      </c>
      <c r="Y70" s="2">
        <f t="shared" ref="Y70" si="22">H70+R70+T70+V70</f>
        <v>222240</v>
      </c>
      <c r="Z70" s="24" t="s">
        <v>65</v>
      </c>
    </row>
    <row r="71" spans="2:26" ht="21" customHeight="1">
      <c r="B71" s="29">
        <v>31</v>
      </c>
      <c r="C71" s="25" t="s">
        <v>78</v>
      </c>
      <c r="D71" s="40" t="s">
        <v>75</v>
      </c>
      <c r="E71" s="41">
        <v>1</v>
      </c>
      <c r="F71" s="41" t="s">
        <v>13</v>
      </c>
      <c r="G71" s="43">
        <f>7140+21420*6/2+9740+30020*6/2</f>
        <v>171200</v>
      </c>
      <c r="H71" s="33" t="s">
        <v>13</v>
      </c>
      <c r="I71" s="41" t="s">
        <v>13</v>
      </c>
      <c r="J71" s="41" t="s">
        <v>13</v>
      </c>
      <c r="K71" s="41" t="s">
        <v>13</v>
      </c>
      <c r="L71" s="33" t="s">
        <v>13</v>
      </c>
      <c r="M71" s="33" t="s">
        <v>13</v>
      </c>
      <c r="N71" s="33" t="s">
        <v>13</v>
      </c>
      <c r="O71" s="34">
        <v>5550</v>
      </c>
      <c r="P71" s="34">
        <v>6810</v>
      </c>
      <c r="Q71" s="34">
        <f>P71+O71</f>
        <v>12360</v>
      </c>
      <c r="R71" s="33" t="s">
        <v>13</v>
      </c>
      <c r="S71" s="34" t="s">
        <v>94</v>
      </c>
      <c r="T71" s="33" t="s">
        <v>13</v>
      </c>
      <c r="U71" s="34">
        <f>26120-25190</f>
        <v>930</v>
      </c>
      <c r="V71" s="33" t="s">
        <v>13</v>
      </c>
      <c r="W71" s="33" t="s">
        <v>13</v>
      </c>
      <c r="X71" s="45" t="s">
        <v>13</v>
      </c>
      <c r="Y71" s="45" t="s">
        <v>13</v>
      </c>
      <c r="Z71" s="24" t="s">
        <v>101</v>
      </c>
    </row>
    <row r="72" spans="2:26" ht="21" customHeight="1">
      <c r="B72" s="29"/>
      <c r="C72" s="56" t="s">
        <v>58</v>
      </c>
      <c r="D72" s="40"/>
      <c r="E72" s="41"/>
      <c r="F72" s="41"/>
      <c r="G72" s="43"/>
      <c r="H72" s="33"/>
      <c r="I72" s="44"/>
      <c r="J72" s="44"/>
      <c r="K72" s="44"/>
      <c r="L72" s="41"/>
      <c r="M72" s="41"/>
      <c r="N72" s="41"/>
      <c r="O72" s="34"/>
      <c r="P72" s="34"/>
      <c r="Q72" s="34"/>
      <c r="R72" s="4"/>
      <c r="S72" s="32"/>
      <c r="T72" s="33"/>
      <c r="U72" s="34"/>
      <c r="V72" s="4"/>
      <c r="W72" s="4"/>
      <c r="X72" s="121"/>
      <c r="Y72" s="121"/>
      <c r="Z72" s="24"/>
    </row>
    <row r="73" spans="2:26" ht="21" customHeight="1">
      <c r="B73" s="29">
        <v>32</v>
      </c>
      <c r="C73" s="37" t="s">
        <v>116</v>
      </c>
      <c r="D73" s="40" t="s">
        <v>59</v>
      </c>
      <c r="E73" s="41">
        <v>3</v>
      </c>
      <c r="F73" s="41">
        <v>3</v>
      </c>
      <c r="G73" s="41" t="s">
        <v>13</v>
      </c>
      <c r="H73" s="41" t="s">
        <v>105</v>
      </c>
      <c r="I73" s="44">
        <v>3</v>
      </c>
      <c r="J73" s="44">
        <v>3</v>
      </c>
      <c r="K73" s="44">
        <v>3</v>
      </c>
      <c r="L73" s="41" t="s">
        <v>13</v>
      </c>
      <c r="M73" s="41" t="s">
        <v>13</v>
      </c>
      <c r="N73" s="41" t="s">
        <v>13</v>
      </c>
      <c r="O73" s="41" t="s">
        <v>13</v>
      </c>
      <c r="P73" s="41" t="s">
        <v>13</v>
      </c>
      <c r="Q73" s="41" t="s">
        <v>13</v>
      </c>
      <c r="R73" s="33" t="s">
        <v>13</v>
      </c>
      <c r="S73" s="43" t="s">
        <v>13</v>
      </c>
      <c r="T73" s="41" t="s">
        <v>13</v>
      </c>
      <c r="U73" s="43" t="s">
        <v>13</v>
      </c>
      <c r="V73" s="41" t="s">
        <v>13</v>
      </c>
      <c r="W73" s="41" t="s">
        <v>13</v>
      </c>
      <c r="X73" s="41" t="s">
        <v>13</v>
      </c>
      <c r="Y73" s="41" t="s">
        <v>13</v>
      </c>
      <c r="Z73" s="122" t="s">
        <v>102</v>
      </c>
    </row>
    <row r="74" spans="2:26" ht="24.75" customHeight="1">
      <c r="B74" s="29"/>
      <c r="C74" s="56" t="s">
        <v>26</v>
      </c>
      <c r="D74" s="44"/>
      <c r="E74" s="41"/>
      <c r="F74" s="41"/>
      <c r="G74" s="43"/>
      <c r="H74" s="33"/>
      <c r="I74" s="4"/>
      <c r="J74" s="4"/>
      <c r="K74" s="4"/>
      <c r="L74" s="33"/>
      <c r="M74" s="33"/>
      <c r="N74" s="33"/>
      <c r="O74" s="34"/>
      <c r="P74" s="34"/>
      <c r="Q74" s="34"/>
      <c r="R74" s="4"/>
      <c r="S74" s="32"/>
      <c r="T74" s="33"/>
      <c r="U74" s="34"/>
      <c r="V74" s="4"/>
      <c r="W74" s="4"/>
      <c r="X74" s="121" t="s">
        <v>18</v>
      </c>
      <c r="Y74" s="121" t="s">
        <v>18</v>
      </c>
      <c r="Z74" s="154"/>
    </row>
    <row r="75" spans="2:26" ht="21" customHeight="1">
      <c r="B75" s="29"/>
      <c r="C75" s="56" t="s">
        <v>22</v>
      </c>
      <c r="D75" s="44"/>
      <c r="E75" s="41"/>
      <c r="F75" s="41"/>
      <c r="G75" s="43"/>
      <c r="H75" s="33"/>
      <c r="I75" s="4"/>
      <c r="J75" s="4"/>
      <c r="K75" s="4"/>
      <c r="L75" s="33"/>
      <c r="M75" s="33"/>
      <c r="N75" s="33"/>
      <c r="O75" s="34"/>
      <c r="P75" s="34"/>
      <c r="Q75" s="34"/>
      <c r="R75" s="4"/>
      <c r="S75" s="32"/>
      <c r="T75" s="33"/>
      <c r="U75" s="34"/>
      <c r="V75" s="4"/>
      <c r="W75" s="4"/>
      <c r="X75" s="121" t="s">
        <v>18</v>
      </c>
      <c r="Y75" s="121" t="s">
        <v>18</v>
      </c>
      <c r="Z75" s="24" t="s">
        <v>18</v>
      </c>
    </row>
    <row r="76" spans="2:26" ht="21" customHeight="1">
      <c r="B76" s="29">
        <v>33</v>
      </c>
      <c r="C76" s="25" t="s">
        <v>123</v>
      </c>
      <c r="D76" s="44"/>
      <c r="E76" s="41">
        <v>1</v>
      </c>
      <c r="F76" s="41">
        <v>1</v>
      </c>
      <c r="G76" s="41" t="s">
        <v>13</v>
      </c>
      <c r="H76" s="41" t="s">
        <v>106</v>
      </c>
      <c r="I76" s="44">
        <v>1</v>
      </c>
      <c r="J76" s="44">
        <v>1</v>
      </c>
      <c r="K76" s="44">
        <v>1</v>
      </c>
      <c r="L76" s="41" t="s">
        <v>13</v>
      </c>
      <c r="M76" s="41" t="s">
        <v>13</v>
      </c>
      <c r="N76" s="41" t="s">
        <v>13</v>
      </c>
      <c r="O76" s="41" t="s">
        <v>13</v>
      </c>
      <c r="P76" s="41" t="s">
        <v>13</v>
      </c>
      <c r="Q76" s="41" t="s">
        <v>13</v>
      </c>
      <c r="R76" s="33" t="s">
        <v>13</v>
      </c>
      <c r="S76" s="43" t="s">
        <v>13</v>
      </c>
      <c r="T76" s="41" t="s">
        <v>13</v>
      </c>
      <c r="U76" s="43" t="s">
        <v>13</v>
      </c>
      <c r="V76" s="41" t="s">
        <v>13</v>
      </c>
      <c r="W76" s="41" t="s">
        <v>13</v>
      </c>
      <c r="X76" s="41" t="s">
        <v>13</v>
      </c>
      <c r="Y76" s="41" t="s">
        <v>13</v>
      </c>
      <c r="Z76" s="122" t="s">
        <v>102</v>
      </c>
    </row>
    <row r="77" spans="2:26" ht="21" customHeight="1">
      <c r="B77" s="29">
        <v>34</v>
      </c>
      <c r="C77" s="25" t="s">
        <v>117</v>
      </c>
      <c r="D77" s="44"/>
      <c r="E77" s="41">
        <v>1</v>
      </c>
      <c r="F77" s="41">
        <v>1</v>
      </c>
      <c r="G77" s="41">
        <f>9400*12</f>
        <v>112800</v>
      </c>
      <c r="H77" s="33">
        <f>9780*12</f>
        <v>117360</v>
      </c>
      <c r="I77" s="44">
        <v>1</v>
      </c>
      <c r="J77" s="44">
        <v>1</v>
      </c>
      <c r="K77" s="44">
        <v>1</v>
      </c>
      <c r="L77" s="41" t="s">
        <v>13</v>
      </c>
      <c r="M77" s="41" t="s">
        <v>13</v>
      </c>
      <c r="N77" s="41" t="s">
        <v>13</v>
      </c>
      <c r="O77" s="41"/>
      <c r="P77" s="41"/>
      <c r="Q77" s="41"/>
      <c r="R77" s="33">
        <v>4800</v>
      </c>
      <c r="S77" s="43"/>
      <c r="T77" s="33">
        <v>4920</v>
      </c>
      <c r="U77" s="43"/>
      <c r="V77" s="33">
        <v>5160</v>
      </c>
      <c r="W77" s="123">
        <f>SUM(H77+R77)</f>
        <v>122160</v>
      </c>
      <c r="X77" s="123">
        <f>SUM(H77+R77+T77)</f>
        <v>127080</v>
      </c>
      <c r="Y77" s="123">
        <f>SUM(H77+R77+T77+V77)</f>
        <v>132240</v>
      </c>
      <c r="Z77" s="2">
        <v>9780</v>
      </c>
    </row>
    <row r="78" spans="2:26" ht="21" customHeight="1">
      <c r="B78" s="29"/>
      <c r="C78" s="56" t="s">
        <v>23</v>
      </c>
      <c r="D78" s="44"/>
      <c r="E78" s="41"/>
      <c r="F78" s="41"/>
      <c r="G78" s="43"/>
      <c r="H78" s="41" t="s">
        <v>18</v>
      </c>
      <c r="I78" s="4"/>
      <c r="J78" s="4"/>
      <c r="K78" s="4"/>
      <c r="L78" s="33"/>
      <c r="M78" s="33"/>
      <c r="N78" s="33"/>
      <c r="O78" s="34"/>
      <c r="P78" s="34"/>
      <c r="Q78" s="34"/>
      <c r="R78" s="4"/>
      <c r="S78" s="32"/>
      <c r="T78" s="33"/>
      <c r="U78" s="34"/>
      <c r="V78" s="4"/>
      <c r="W78" s="4"/>
      <c r="X78" s="121" t="s">
        <v>18</v>
      </c>
      <c r="Y78" s="121" t="s">
        <v>18</v>
      </c>
      <c r="Z78" s="24"/>
    </row>
    <row r="79" spans="2:26" ht="21" customHeight="1">
      <c r="B79" s="29">
        <v>35</v>
      </c>
      <c r="C79" s="25" t="s">
        <v>124</v>
      </c>
      <c r="D79" s="44"/>
      <c r="E79" s="41">
        <v>1</v>
      </c>
      <c r="F79" s="41">
        <v>1</v>
      </c>
      <c r="G79" s="43"/>
      <c r="H79" s="41" t="s">
        <v>106</v>
      </c>
      <c r="I79" s="44">
        <v>1</v>
      </c>
      <c r="J79" s="44">
        <v>1</v>
      </c>
      <c r="K79" s="44">
        <v>1</v>
      </c>
      <c r="L79" s="124" t="s">
        <v>13</v>
      </c>
      <c r="M79" s="41" t="s">
        <v>13</v>
      </c>
      <c r="N79" s="41" t="s">
        <v>13</v>
      </c>
      <c r="O79" s="41" t="s">
        <v>13</v>
      </c>
      <c r="P79" s="41" t="s">
        <v>13</v>
      </c>
      <c r="Q79" s="41" t="s">
        <v>13</v>
      </c>
      <c r="R79" s="33" t="s">
        <v>13</v>
      </c>
      <c r="S79" s="43" t="s">
        <v>13</v>
      </c>
      <c r="T79" s="41" t="s">
        <v>13</v>
      </c>
      <c r="U79" s="43" t="s">
        <v>13</v>
      </c>
      <c r="V79" s="41" t="s">
        <v>13</v>
      </c>
      <c r="W79" s="41" t="s">
        <v>13</v>
      </c>
      <c r="X79" s="41" t="s">
        <v>13</v>
      </c>
      <c r="Y79" s="41" t="s">
        <v>13</v>
      </c>
      <c r="Z79" s="122" t="s">
        <v>102</v>
      </c>
    </row>
    <row r="80" spans="2:26" ht="21" customHeight="1">
      <c r="B80" s="29"/>
      <c r="C80" s="56" t="s">
        <v>24</v>
      </c>
      <c r="D80" s="44"/>
      <c r="E80" s="41"/>
      <c r="F80" s="41"/>
      <c r="G80" s="43"/>
      <c r="H80" s="33" t="s">
        <v>18</v>
      </c>
      <c r="I80" s="44" t="s">
        <v>18</v>
      </c>
      <c r="J80" s="44" t="s">
        <v>18</v>
      </c>
      <c r="K80" s="44" t="s">
        <v>18</v>
      </c>
      <c r="L80" s="33"/>
      <c r="M80" s="33"/>
      <c r="N80" s="33"/>
      <c r="O80" s="34"/>
      <c r="P80" s="34"/>
      <c r="Q80" s="34"/>
      <c r="R80" s="4"/>
      <c r="S80" s="32"/>
      <c r="T80" s="33"/>
      <c r="U80" s="34"/>
      <c r="V80" s="4"/>
      <c r="W80" s="4"/>
      <c r="X80" s="121" t="s">
        <v>18</v>
      </c>
      <c r="Y80" s="121" t="s">
        <v>18</v>
      </c>
      <c r="Z80" s="24"/>
    </row>
    <row r="81" spans="2:26" ht="21" customHeight="1">
      <c r="B81" s="29">
        <v>36</v>
      </c>
      <c r="C81" s="25" t="s">
        <v>45</v>
      </c>
      <c r="D81" s="44"/>
      <c r="E81" s="41">
        <v>3</v>
      </c>
      <c r="F81" s="41" t="s">
        <v>13</v>
      </c>
      <c r="G81" s="125"/>
      <c r="H81" s="33" t="s">
        <v>13</v>
      </c>
      <c r="I81" s="155" t="s">
        <v>13</v>
      </c>
      <c r="J81" s="155" t="s">
        <v>13</v>
      </c>
      <c r="K81" s="155" t="s">
        <v>13</v>
      </c>
      <c r="L81" s="155" t="s">
        <v>13</v>
      </c>
      <c r="M81" s="33" t="s">
        <v>13</v>
      </c>
      <c r="N81" s="33" t="s">
        <v>13</v>
      </c>
      <c r="O81" s="33" t="s">
        <v>13</v>
      </c>
      <c r="P81" s="33" t="s">
        <v>13</v>
      </c>
      <c r="Q81" s="33" t="s">
        <v>13</v>
      </c>
      <c r="R81" s="33" t="s">
        <v>13</v>
      </c>
      <c r="S81" s="34" t="s">
        <v>13</v>
      </c>
      <c r="T81" s="33" t="s">
        <v>13</v>
      </c>
      <c r="U81" s="34" t="s">
        <v>13</v>
      </c>
      <c r="V81" s="33" t="s">
        <v>13</v>
      </c>
      <c r="W81" s="33" t="s">
        <v>13</v>
      </c>
      <c r="X81" s="33" t="s">
        <v>13</v>
      </c>
      <c r="Y81" s="33" t="s">
        <v>13</v>
      </c>
      <c r="Z81" s="122" t="s">
        <v>101</v>
      </c>
    </row>
    <row r="82" spans="2:26" ht="21" customHeight="1" thickBot="1">
      <c r="B82" s="60">
        <v>37</v>
      </c>
      <c r="C82" s="61" t="s">
        <v>25</v>
      </c>
      <c r="D82" s="126"/>
      <c r="E82" s="127">
        <v>1</v>
      </c>
      <c r="F82" s="127">
        <v>1</v>
      </c>
      <c r="G82" s="30">
        <f>9000*12</f>
        <v>108000</v>
      </c>
      <c r="H82" s="2">
        <f>SUM(G82)</f>
        <v>108000</v>
      </c>
      <c r="I82" s="100">
        <v>1</v>
      </c>
      <c r="J82" s="100">
        <v>1</v>
      </c>
      <c r="K82" s="100">
        <v>1</v>
      </c>
      <c r="L82" s="39" t="s">
        <v>13</v>
      </c>
      <c r="M82" s="2" t="s">
        <v>13</v>
      </c>
      <c r="N82" s="2" t="s">
        <v>13</v>
      </c>
      <c r="O82" s="210" t="s">
        <v>31</v>
      </c>
      <c r="P82" s="211"/>
      <c r="Q82" s="211"/>
      <c r="R82" s="2" t="s">
        <v>13</v>
      </c>
      <c r="S82" s="31" t="s">
        <v>32</v>
      </c>
      <c r="T82" s="2" t="s">
        <v>13</v>
      </c>
      <c r="U82" s="31" t="s">
        <v>33</v>
      </c>
      <c r="V82" s="2" t="s">
        <v>13</v>
      </c>
      <c r="W82" s="2">
        <f>SUM(H82)</f>
        <v>108000</v>
      </c>
      <c r="X82" s="2">
        <f>SUM(H82)</f>
        <v>108000</v>
      </c>
      <c r="Y82" s="2">
        <f>SUM(H82)</f>
        <v>108000</v>
      </c>
      <c r="Z82" s="127" t="s">
        <v>18</v>
      </c>
    </row>
    <row r="83" spans="2:26" ht="25.5" customHeight="1" thickBot="1">
      <c r="B83" s="128" t="s">
        <v>37</v>
      </c>
      <c r="C83" s="129" t="s">
        <v>14</v>
      </c>
      <c r="D83" s="130"/>
      <c r="E83" s="131">
        <f>SUM(E8:E82)</f>
        <v>41</v>
      </c>
      <c r="F83" s="131">
        <f>SUM(F8:F82)</f>
        <v>28</v>
      </c>
      <c r="G83" s="131">
        <f t="shared" ref="G83" si="23">SUM(G8:G81)</f>
        <v>5729560</v>
      </c>
      <c r="H83" s="132">
        <f>SUM(H9:H82)</f>
        <v>5910900</v>
      </c>
      <c r="I83" s="168">
        <f>I82+I79+I77+I76+I73+I70+I68+I66+I65+I56+I53+I52+I51+I49+I47+I46+I42+I41+I40+I39+I37+I23+I21+I20+I19+I18+I14+I13+I12+I11+I9+I8</f>
        <v>34</v>
      </c>
      <c r="J83" s="168">
        <f t="shared" ref="J83:K83" si="24">J82+J79+J77+J76+J73+J70+J68+J66+J65+J56+J53+J52+J51+J49+J47+J46+J42+J41+J40+J39+J37+J23+J21+J20+J19+J18+J14+J13+J12+J11+J9+J8</f>
        <v>34</v>
      </c>
      <c r="K83" s="168">
        <f t="shared" si="24"/>
        <v>34</v>
      </c>
      <c r="L83" s="131" t="s">
        <v>18</v>
      </c>
      <c r="M83" s="131" t="s">
        <v>18</v>
      </c>
      <c r="N83" s="132" t="s">
        <v>18</v>
      </c>
      <c r="O83" s="132">
        <f t="shared" ref="O83:U83" si="25">SUM(O8:O81)</f>
        <v>195660</v>
      </c>
      <c r="P83" s="132">
        <f t="shared" si="25"/>
        <v>286622.40000000002</v>
      </c>
      <c r="Q83" s="132">
        <f t="shared" si="25"/>
        <v>180080</v>
      </c>
      <c r="R83" s="133">
        <f>SUM(R8:R82)</f>
        <v>218542</v>
      </c>
      <c r="S83" s="134">
        <f t="shared" si="25"/>
        <v>15462</v>
      </c>
      <c r="T83" s="135">
        <f>SUM(T8:T82)</f>
        <v>230184</v>
      </c>
      <c r="U83" s="134">
        <f t="shared" si="25"/>
        <v>27060</v>
      </c>
      <c r="V83" s="135">
        <f>SUM(V8:V82)</f>
        <v>234506</v>
      </c>
      <c r="W83" s="135">
        <f>SUM(W8:W82)</f>
        <v>6710602</v>
      </c>
      <c r="X83" s="135">
        <f>SUM(X8:X82)</f>
        <v>6935664</v>
      </c>
      <c r="Y83" s="135">
        <f>SUM(Y8:Y82)</f>
        <v>7165046</v>
      </c>
      <c r="Z83" s="131"/>
    </row>
    <row r="84" spans="2:26" ht="27.75" customHeight="1" thickBot="1">
      <c r="B84" s="128" t="s">
        <v>38</v>
      </c>
      <c r="C84" s="136" t="s">
        <v>15</v>
      </c>
      <c r="D84" s="137"/>
      <c r="E84" s="138"/>
      <c r="F84" s="137"/>
      <c r="G84" s="139"/>
      <c r="H84" s="140"/>
      <c r="I84" s="140"/>
      <c r="J84" s="140"/>
      <c r="K84" s="140"/>
      <c r="L84" s="137"/>
      <c r="M84" s="137"/>
      <c r="N84" s="137"/>
      <c r="O84" s="139"/>
      <c r="P84" s="139"/>
      <c r="Q84" s="139"/>
      <c r="R84" s="141" t="s">
        <v>18</v>
      </c>
      <c r="S84" s="142"/>
      <c r="T84" s="143"/>
      <c r="U84" s="142"/>
      <c r="V84" s="143"/>
      <c r="W84" s="144">
        <f>W83*20%</f>
        <v>1342120.4000000001</v>
      </c>
      <c r="X84" s="144">
        <f>X83*20%</f>
        <v>1387132.8</v>
      </c>
      <c r="Y84" s="144">
        <f>Y83*20%</f>
        <v>1433009.2000000002</v>
      </c>
      <c r="Z84" s="138"/>
    </row>
    <row r="85" spans="2:26" ht="25.5" customHeight="1" thickBot="1">
      <c r="B85" s="128" t="s">
        <v>39</v>
      </c>
      <c r="C85" s="136" t="s">
        <v>16</v>
      </c>
      <c r="D85" s="137"/>
      <c r="E85" s="138"/>
      <c r="F85" s="137"/>
      <c r="G85" s="139"/>
      <c r="H85" s="140"/>
      <c r="I85" s="140"/>
      <c r="J85" s="140"/>
      <c r="K85" s="140"/>
      <c r="L85" s="137"/>
      <c r="M85" s="137"/>
      <c r="N85" s="137"/>
      <c r="O85" s="139"/>
      <c r="P85" s="139"/>
      <c r="Q85" s="139"/>
      <c r="R85" s="141"/>
      <c r="S85" s="142"/>
      <c r="T85" s="143"/>
      <c r="U85" s="142"/>
      <c r="V85" s="143"/>
      <c r="W85" s="144">
        <f>SUM(W83:W84)</f>
        <v>8052722.4000000004</v>
      </c>
      <c r="X85" s="144">
        <f>SUM(X83:X84)</f>
        <v>8322796.7999999998</v>
      </c>
      <c r="Y85" s="144">
        <f t="shared" ref="Y85" si="26">SUM(Y83:Y84)</f>
        <v>8598055.1999999993</v>
      </c>
      <c r="Z85" s="138"/>
    </row>
    <row r="86" spans="2:26" ht="26.25" customHeight="1" thickBot="1">
      <c r="B86" s="128" t="s">
        <v>40</v>
      </c>
      <c r="C86" s="136" t="s">
        <v>17</v>
      </c>
      <c r="D86" s="137"/>
      <c r="E86" s="138"/>
      <c r="F86" s="137"/>
      <c r="G86" s="139"/>
      <c r="H86" s="140"/>
      <c r="I86" s="140"/>
      <c r="J86" s="140"/>
      <c r="K86" s="140"/>
      <c r="L86" s="137"/>
      <c r="M86" s="137"/>
      <c r="N86" s="137"/>
      <c r="O86" s="139"/>
      <c r="P86" s="139"/>
      <c r="Q86" s="139"/>
      <c r="R86" s="145"/>
      <c r="S86" s="139"/>
      <c r="T86" s="137"/>
      <c r="U86" s="139"/>
      <c r="V86" s="137"/>
      <c r="W86" s="146">
        <f>W85/L88*100</f>
        <v>26.894197259188779</v>
      </c>
      <c r="X86" s="146">
        <f>SUM(X85/L89*100)</f>
        <v>26.472554458559511</v>
      </c>
      <c r="Y86" s="146">
        <f>Y85/L90*100</f>
        <v>26.04578725034683</v>
      </c>
      <c r="Z86" s="138"/>
    </row>
    <row r="87" spans="2:26" ht="26.25" customHeight="1">
      <c r="B87" s="156"/>
      <c r="C87" s="157"/>
      <c r="D87" s="158"/>
      <c r="E87" s="72"/>
      <c r="F87" s="158"/>
      <c r="G87" s="159"/>
      <c r="H87" s="71"/>
      <c r="I87" s="71"/>
      <c r="J87" s="71"/>
      <c r="K87" s="71"/>
      <c r="L87" s="158"/>
      <c r="M87" s="158"/>
      <c r="N87" s="158"/>
      <c r="O87" s="159"/>
      <c r="P87" s="159"/>
      <c r="Q87" s="159"/>
      <c r="R87" s="160"/>
      <c r="S87" s="159"/>
      <c r="T87" s="158"/>
      <c r="U87" s="159"/>
      <c r="V87" s="158"/>
      <c r="W87" s="161"/>
      <c r="X87" s="161"/>
      <c r="Y87" s="161"/>
      <c r="Z87" s="72"/>
    </row>
    <row r="88" spans="2:26" ht="26.25" customHeight="1">
      <c r="C88" s="207" t="s">
        <v>104</v>
      </c>
      <c r="D88" s="207"/>
      <c r="E88" s="207"/>
      <c r="F88" s="207"/>
      <c r="G88" s="207"/>
      <c r="H88" s="207"/>
      <c r="I88" s="207"/>
      <c r="L88" s="208">
        <v>29942230</v>
      </c>
      <c r="M88" s="208"/>
      <c r="N88" s="208"/>
      <c r="R88" s="149" t="s">
        <v>46</v>
      </c>
      <c r="T88" s="163">
        <f>SUM(L88*5%)</f>
        <v>1497111.5</v>
      </c>
      <c r="U88" s="164"/>
      <c r="V88" s="165">
        <f>SUM(L88+T88)</f>
        <v>31439341.5</v>
      </c>
      <c r="W88" s="46" t="s">
        <v>18</v>
      </c>
    </row>
    <row r="89" spans="2:26" ht="26.25" customHeight="1">
      <c r="C89" s="207" t="s">
        <v>107</v>
      </c>
      <c r="D89" s="207"/>
      <c r="E89" s="207"/>
      <c r="F89" s="207"/>
      <c r="G89" s="207"/>
      <c r="H89" s="207"/>
      <c r="I89" s="207"/>
      <c r="L89" s="208">
        <f>L88*5%+L88</f>
        <v>31439341.5</v>
      </c>
      <c r="M89" s="208"/>
      <c r="N89" s="208"/>
      <c r="R89" s="149" t="s">
        <v>46</v>
      </c>
      <c r="T89" s="166">
        <f>SUM(L89*5%)</f>
        <v>1571967.0750000002</v>
      </c>
      <c r="U89" s="164"/>
      <c r="V89" s="165">
        <f>SUM(L89+T89)</f>
        <v>33011308.574999999</v>
      </c>
      <c r="W89" s="46" t="s">
        <v>18</v>
      </c>
    </row>
    <row r="90" spans="2:26" ht="26.25" customHeight="1">
      <c r="C90" s="207" t="s">
        <v>103</v>
      </c>
      <c r="D90" s="207"/>
      <c r="E90" s="207"/>
      <c r="F90" s="207"/>
      <c r="G90" s="207"/>
      <c r="H90" s="207"/>
      <c r="I90" s="207"/>
      <c r="L90" s="208">
        <f>L89*5%+L89</f>
        <v>33011308.574999999</v>
      </c>
      <c r="M90" s="208"/>
      <c r="N90" s="208"/>
      <c r="R90" s="149" t="s">
        <v>46</v>
      </c>
      <c r="T90" s="167">
        <f>SUM(L90*5%)</f>
        <v>1650565.42875</v>
      </c>
      <c r="U90" s="164"/>
      <c r="V90" s="163">
        <f>SUM(L90+T90)</f>
        <v>34661874.003749996</v>
      </c>
    </row>
    <row r="91" spans="2:26" ht="52.5" customHeight="1">
      <c r="C91" s="207"/>
      <c r="D91" s="207"/>
      <c r="E91" s="207"/>
      <c r="F91" s="207"/>
      <c r="G91" s="207"/>
      <c r="H91" s="207"/>
      <c r="I91" s="207"/>
      <c r="L91" s="52"/>
      <c r="M91" s="52"/>
      <c r="N91" s="52"/>
      <c r="T91" s="150" t="s">
        <v>18</v>
      </c>
      <c r="V91" s="150" t="s">
        <v>18</v>
      </c>
    </row>
    <row r="92" spans="2:26">
      <c r="C92" s="207"/>
      <c r="D92" s="207"/>
      <c r="E92" s="207"/>
      <c r="F92" s="207"/>
      <c r="G92" s="207"/>
      <c r="H92" s="207"/>
      <c r="I92" s="207"/>
      <c r="L92" s="52"/>
      <c r="M92" s="52"/>
      <c r="N92" s="52"/>
    </row>
    <row r="93" spans="2:26">
      <c r="C93" s="207"/>
      <c r="D93" s="207"/>
      <c r="E93" s="207"/>
      <c r="F93" s="207"/>
      <c r="G93" s="207"/>
      <c r="H93" s="207"/>
      <c r="I93" s="207"/>
      <c r="L93" s="52"/>
      <c r="M93" s="52"/>
      <c r="N93" s="52"/>
    </row>
    <row r="94" spans="2:26">
      <c r="C94" s="207" t="s">
        <v>18</v>
      </c>
      <c r="D94" s="207"/>
      <c r="E94" s="207"/>
      <c r="F94" s="207"/>
      <c r="G94" s="207"/>
      <c r="H94" s="207"/>
      <c r="I94" s="207"/>
      <c r="L94" s="52"/>
      <c r="M94" s="52"/>
      <c r="N94" s="52"/>
    </row>
    <row r="95" spans="2:26">
      <c r="C95" s="151" t="s">
        <v>18</v>
      </c>
    </row>
    <row r="96" spans="2:26">
      <c r="C96" s="151" t="s">
        <v>18</v>
      </c>
    </row>
    <row r="97" spans="3:3">
      <c r="C97" s="151" t="s">
        <v>18</v>
      </c>
    </row>
  </sheetData>
  <mergeCells count="107">
    <mergeCell ref="O82:Q82"/>
    <mergeCell ref="H6:H7"/>
    <mergeCell ref="I6:I7"/>
    <mergeCell ref="J6:J7"/>
    <mergeCell ref="K6:K7"/>
    <mergeCell ref="B2:Z2"/>
    <mergeCell ref="O66:Q66"/>
    <mergeCell ref="O56:Q56"/>
    <mergeCell ref="O49:Q49"/>
    <mergeCell ref="O20:Q20"/>
    <mergeCell ref="O21:Q21"/>
    <mergeCell ref="O23:Q23"/>
    <mergeCell ref="O65:Q65"/>
    <mergeCell ref="I3:K5"/>
    <mergeCell ref="O47:Q47"/>
    <mergeCell ref="B3:B7"/>
    <mergeCell ref="C3:C7"/>
    <mergeCell ref="D3:D7"/>
    <mergeCell ref="E3:E7"/>
    <mergeCell ref="F3:H5"/>
    <mergeCell ref="M6:M7"/>
    <mergeCell ref="L3:N3"/>
    <mergeCell ref="L4:N4"/>
    <mergeCell ref="L5:N5"/>
    <mergeCell ref="R3:V3"/>
    <mergeCell ref="R4:V4"/>
    <mergeCell ref="R5:V5"/>
    <mergeCell ref="L6:L7"/>
    <mergeCell ref="T6:T7"/>
    <mergeCell ref="V6:V7"/>
    <mergeCell ref="N6:N7"/>
    <mergeCell ref="X6:X7"/>
    <mergeCell ref="Y6:Y7"/>
    <mergeCell ref="W3:Y5"/>
    <mergeCell ref="S6:S7"/>
    <mergeCell ref="Z3:Z7"/>
    <mergeCell ref="W6:W7"/>
    <mergeCell ref="O18:Q18"/>
    <mergeCell ref="O19:Q19"/>
    <mergeCell ref="O37:Q37"/>
    <mergeCell ref="R6:R7"/>
    <mergeCell ref="T34:T35"/>
    <mergeCell ref="V34:V35"/>
    <mergeCell ref="C93:I93"/>
    <mergeCell ref="I31:K33"/>
    <mergeCell ref="L31:N31"/>
    <mergeCell ref="R31:V31"/>
    <mergeCell ref="W31:Y33"/>
    <mergeCell ref="Z31:Z35"/>
    <mergeCell ref="L32:N32"/>
    <mergeCell ref="R32:V32"/>
    <mergeCell ref="L33:N33"/>
    <mergeCell ref="R33:V33"/>
    <mergeCell ref="I34:I35"/>
    <mergeCell ref="J34:J35"/>
    <mergeCell ref="K34:K35"/>
    <mergeCell ref="L34:L35"/>
    <mergeCell ref="M34:M35"/>
    <mergeCell ref="N34:N35"/>
    <mergeCell ref="C94:I94"/>
    <mergeCell ref="L88:N88"/>
    <mergeCell ref="L89:N89"/>
    <mergeCell ref="L90:N90"/>
    <mergeCell ref="C88:I88"/>
    <mergeCell ref="C89:I89"/>
    <mergeCell ref="C90:I90"/>
    <mergeCell ref="C91:I91"/>
    <mergeCell ref="C92:I92"/>
    <mergeCell ref="I60:K62"/>
    <mergeCell ref="L60:N60"/>
    <mergeCell ref="R60:V60"/>
    <mergeCell ref="W60:Y62"/>
    <mergeCell ref="H63:H64"/>
    <mergeCell ref="I63:I64"/>
    <mergeCell ref="J63:J64"/>
    <mergeCell ref="K63:K64"/>
    <mergeCell ref="B31:B35"/>
    <mergeCell ref="C31:C35"/>
    <mergeCell ref="D31:D35"/>
    <mergeCell ref="E31:E35"/>
    <mergeCell ref="F31:H33"/>
    <mergeCell ref="H34:H35"/>
    <mergeCell ref="S34:S35"/>
    <mergeCell ref="B1:Z1"/>
    <mergeCell ref="Z60:Z64"/>
    <mergeCell ref="L61:N61"/>
    <mergeCell ref="R61:V61"/>
    <mergeCell ref="L62:N62"/>
    <mergeCell ref="R62:V62"/>
    <mergeCell ref="L63:L64"/>
    <mergeCell ref="M63:M64"/>
    <mergeCell ref="N63:N64"/>
    <mergeCell ref="R63:R64"/>
    <mergeCell ref="T63:T64"/>
    <mergeCell ref="V63:V64"/>
    <mergeCell ref="W63:W64"/>
    <mergeCell ref="X63:X64"/>
    <mergeCell ref="Y63:Y64"/>
    <mergeCell ref="R34:R35"/>
    <mergeCell ref="W34:W35"/>
    <mergeCell ref="X34:X35"/>
    <mergeCell ref="Y34:Y35"/>
    <mergeCell ref="B60:B64"/>
    <mergeCell ref="C60:C64"/>
    <mergeCell ref="D60:D64"/>
    <mergeCell ref="E60:E64"/>
    <mergeCell ref="F60:H62"/>
  </mergeCells>
  <pageMargins left="0.19685039370078741" right="0.19685039370078741" top="0.31" bottom="0.19685039370078741" header="0.11" footer="0.15748031496062992"/>
  <pageSetup paperSize="9" scale="80" orientation="landscape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ตารางคำนวณ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2017-09-27T08:30:43Z</cp:lastPrinted>
  <dcterms:created xsi:type="dcterms:W3CDTF">2014-08-21T06:57:01Z</dcterms:created>
  <dcterms:modified xsi:type="dcterms:W3CDTF">2017-09-27T08:31:32Z</dcterms:modified>
</cp:coreProperties>
</file>